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son\Documents\EIDTPA\2025 EIDTPA\"/>
    </mc:Choice>
  </mc:AlternateContent>
  <xr:revisionPtr revIDLastSave="0" documentId="13_ncr:1_{87FCB3E5-AB2D-4628-8B65-E01813CF8072}" xr6:coauthVersionLast="47" xr6:coauthVersionMax="47" xr10:uidLastSave="{00000000-0000-0000-0000-000000000000}"/>
  <bookViews>
    <workbookView xWindow="-28920" yWindow="-120" windowWidth="29040" windowHeight="15840" tabRatio="786" xr2:uid="{8CC94758-38D7-4B65-99F5-416EA25226F6}"/>
  </bookViews>
  <sheets>
    <sheet name="5,500" sheetId="6" r:id="rId1"/>
    <sheet name="6,000" sheetId="7" r:id="rId2"/>
    <sheet name="6,500" sheetId="8" r:id="rId3"/>
    <sheet name="7,000" sheetId="9" r:id="rId4"/>
    <sheet name="10,000" sheetId="2" r:id="rId5"/>
    <sheet name="9,500" sheetId="3" r:id="rId6"/>
    <sheet name="9,000" sheetId="4" r:id="rId7"/>
    <sheet name="8,500" sheetId="5" r:id="rId8"/>
    <sheet name="Overall" sheetId="10" r:id="rId9"/>
    <sheet name="Joe N" sheetId="13" r:id="rId10"/>
    <sheet name="Tommy E" sheetId="15" r:id="rId11"/>
    <sheet name="Bruiser" sheetId="16" r:id="rId12"/>
    <sheet name="Hooks" sheetId="18" r:id="rId13"/>
    <sheet name="Awards" sheetId="2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3" l="1"/>
  <c r="H3" i="13"/>
  <c r="H9" i="13"/>
  <c r="I22" i="6"/>
  <c r="I15" i="6"/>
  <c r="I5" i="2"/>
  <c r="I18" i="2"/>
  <c r="I16" i="7"/>
  <c r="I15" i="7"/>
  <c r="I28" i="8"/>
  <c r="I24" i="8"/>
  <c r="H37" i="7"/>
  <c r="G8" i="18" s="1"/>
  <c r="G20" i="18" s="1"/>
  <c r="H23" i="13"/>
  <c r="H41" i="13"/>
  <c r="I23" i="8"/>
  <c r="H33" i="13"/>
  <c r="I6" i="9"/>
  <c r="I29" i="9"/>
  <c r="I23" i="5"/>
  <c r="I6" i="5"/>
  <c r="I12" i="8"/>
  <c r="I32" i="8"/>
  <c r="I20" i="7"/>
  <c r="I36" i="7"/>
  <c r="I34" i="7"/>
  <c r="I10" i="7"/>
  <c r="I12" i="6"/>
  <c r="I32" i="6"/>
  <c r="I19" i="6"/>
  <c r="H45" i="13"/>
  <c r="H16" i="13"/>
  <c r="I22" i="10"/>
  <c r="I25" i="10"/>
  <c r="I8" i="10"/>
  <c r="I16" i="10"/>
  <c r="I24" i="10"/>
  <c r="I21" i="10"/>
  <c r="I17" i="10"/>
  <c r="I27" i="10"/>
  <c r="I11" i="10"/>
  <c r="I32" i="10"/>
  <c r="I16" i="9"/>
  <c r="I7" i="9"/>
  <c r="I14" i="5"/>
  <c r="I17" i="5"/>
  <c r="I20" i="8"/>
  <c r="I11" i="4"/>
  <c r="I11" i="7"/>
  <c r="I12" i="7"/>
  <c r="I19" i="7"/>
  <c r="I16" i="3"/>
  <c r="I19" i="3"/>
  <c r="I18" i="6"/>
  <c r="I19" i="2"/>
  <c r="H28" i="16"/>
  <c r="G28" i="16"/>
  <c r="F28" i="16"/>
  <c r="E28" i="16"/>
  <c r="D28" i="16"/>
  <c r="C28" i="16"/>
  <c r="I7" i="16"/>
  <c r="I23" i="16"/>
  <c r="I8" i="16"/>
  <c r="I19" i="16"/>
  <c r="I15" i="16"/>
  <c r="I21" i="16"/>
  <c r="I14" i="16"/>
  <c r="I5" i="16"/>
  <c r="I16" i="16"/>
  <c r="I13" i="16"/>
  <c r="I22" i="16"/>
  <c r="I4" i="16"/>
  <c r="I25" i="16"/>
  <c r="I18" i="16"/>
  <c r="I27" i="16"/>
  <c r="I6" i="16"/>
  <c r="I12" i="16"/>
  <c r="I10" i="16"/>
  <c r="I26" i="16"/>
  <c r="I2" i="16"/>
  <c r="I11" i="16"/>
  <c r="I24" i="16"/>
  <c r="I9" i="16"/>
  <c r="I20" i="16"/>
  <c r="I3" i="16"/>
  <c r="I17" i="16"/>
  <c r="C28" i="15"/>
  <c r="C38" i="10"/>
  <c r="H28" i="15"/>
  <c r="G28" i="15"/>
  <c r="F28" i="15"/>
  <c r="E28" i="15"/>
  <c r="D28" i="15"/>
  <c r="I27" i="15"/>
  <c r="I26" i="15"/>
  <c r="I25" i="15"/>
  <c r="I24" i="15"/>
  <c r="I23" i="15"/>
  <c r="I22" i="15"/>
  <c r="I21" i="15"/>
  <c r="I20" i="15"/>
  <c r="I12" i="15"/>
  <c r="I17" i="15"/>
  <c r="I19" i="15"/>
  <c r="I4" i="15"/>
  <c r="I11" i="15"/>
  <c r="I6" i="15"/>
  <c r="I14" i="15"/>
  <c r="I3" i="15"/>
  <c r="I13" i="15"/>
  <c r="I5" i="15"/>
  <c r="I10" i="15"/>
  <c r="I8" i="15"/>
  <c r="I2" i="15"/>
  <c r="I16" i="15"/>
  <c r="I7" i="15"/>
  <c r="I9" i="15"/>
  <c r="I18" i="15"/>
  <c r="I15" i="15"/>
  <c r="H32" i="13"/>
  <c r="H46" i="13"/>
  <c r="H28" i="13"/>
  <c r="H44" i="13"/>
  <c r="H22" i="13"/>
  <c r="H10" i="13"/>
  <c r="H43" i="13"/>
  <c r="H27" i="13"/>
  <c r="H25" i="13"/>
  <c r="H8" i="13"/>
  <c r="H42" i="13"/>
  <c r="H36" i="13"/>
  <c r="H29" i="13"/>
  <c r="H12" i="13"/>
  <c r="H31" i="13"/>
  <c r="H24" i="13"/>
  <c r="H37" i="13"/>
  <c r="H18" i="13"/>
  <c r="H30" i="13"/>
  <c r="H5" i="13"/>
  <c r="H20" i="13"/>
  <c r="H2" i="13"/>
  <c r="H14" i="13"/>
  <c r="H39" i="13"/>
  <c r="H19" i="13"/>
  <c r="H35" i="13"/>
  <c r="H15" i="13"/>
  <c r="H40" i="13"/>
  <c r="H34" i="13"/>
  <c r="H38" i="13"/>
  <c r="H26" i="13"/>
  <c r="H7" i="13"/>
  <c r="H13" i="13"/>
  <c r="H11" i="13"/>
  <c r="H21" i="13"/>
  <c r="H6" i="13"/>
  <c r="H17" i="13"/>
  <c r="H4" i="13"/>
  <c r="H38" i="10"/>
  <c r="G38" i="10"/>
  <c r="F38" i="10"/>
  <c r="E38" i="10"/>
  <c r="D38" i="10"/>
  <c r="I37" i="10"/>
  <c r="I36" i="10"/>
  <c r="I35" i="10"/>
  <c r="I5" i="10"/>
  <c r="I7" i="10"/>
  <c r="I34" i="10"/>
  <c r="I18" i="10"/>
  <c r="I33" i="10"/>
  <c r="I31" i="10"/>
  <c r="I20" i="10"/>
  <c r="I2" i="10"/>
  <c r="I30" i="10"/>
  <c r="I13" i="10"/>
  <c r="I23" i="10"/>
  <c r="I4" i="10"/>
  <c r="I15" i="10"/>
  <c r="I14" i="10"/>
  <c r="I28" i="10"/>
  <c r="I12" i="10"/>
  <c r="I29" i="10"/>
  <c r="I3" i="10"/>
  <c r="I9" i="10"/>
  <c r="I6" i="10"/>
  <c r="I19" i="10"/>
  <c r="I26" i="10"/>
  <c r="I10" i="10"/>
  <c r="H32" i="9"/>
  <c r="G6" i="18" s="1"/>
  <c r="G32" i="9"/>
  <c r="F6" i="18" s="1"/>
  <c r="F18" i="18" s="1"/>
  <c r="F32" i="9"/>
  <c r="E6" i="18" s="1"/>
  <c r="E32" i="9"/>
  <c r="D6" i="18" s="1"/>
  <c r="D32" i="9"/>
  <c r="C6" i="18" s="1"/>
  <c r="C32" i="9"/>
  <c r="B6" i="18" s="1"/>
  <c r="I30" i="9"/>
  <c r="I31" i="9"/>
  <c r="I28" i="9"/>
  <c r="I27" i="9"/>
  <c r="I26" i="9"/>
  <c r="I25" i="9"/>
  <c r="I24" i="9"/>
  <c r="I23" i="9"/>
  <c r="I22" i="9"/>
  <c r="I21" i="9"/>
  <c r="I20" i="9"/>
  <c r="I19" i="9"/>
  <c r="I18" i="9"/>
  <c r="I17" i="9"/>
  <c r="I15" i="9"/>
  <c r="I14" i="9"/>
  <c r="I13" i="9"/>
  <c r="I12" i="9"/>
  <c r="I11" i="9"/>
  <c r="I10" i="9"/>
  <c r="I9" i="9"/>
  <c r="I8" i="9"/>
  <c r="I5" i="9"/>
  <c r="I4" i="9"/>
  <c r="I3" i="9"/>
  <c r="I2" i="9"/>
  <c r="H34" i="8"/>
  <c r="G7" i="18" s="1"/>
  <c r="G34" i="8"/>
  <c r="F7" i="18" s="1"/>
  <c r="F34" i="8"/>
  <c r="E7" i="18" s="1"/>
  <c r="E34" i="8"/>
  <c r="D7" i="18" s="1"/>
  <c r="D34" i="8"/>
  <c r="C7" i="18" s="1"/>
  <c r="C34" i="8"/>
  <c r="B7" i="18" s="1"/>
  <c r="I33" i="8"/>
  <c r="I5" i="8"/>
  <c r="I31" i="8"/>
  <c r="I30" i="8"/>
  <c r="I29" i="8"/>
  <c r="I6" i="8"/>
  <c r="I27" i="8"/>
  <c r="I26" i="8"/>
  <c r="I25" i="8"/>
  <c r="I3" i="8"/>
  <c r="I4" i="8"/>
  <c r="I22" i="8"/>
  <c r="I21" i="8"/>
  <c r="I19" i="8"/>
  <c r="I7" i="8"/>
  <c r="I18" i="8"/>
  <c r="I17" i="8"/>
  <c r="I2" i="8"/>
  <c r="I16" i="8"/>
  <c r="I15" i="8"/>
  <c r="I14" i="8"/>
  <c r="I13" i="8"/>
  <c r="I11" i="8"/>
  <c r="I10" i="8"/>
  <c r="I9" i="8"/>
  <c r="I8" i="8"/>
  <c r="G37" i="7"/>
  <c r="F8" i="18" s="1"/>
  <c r="F37" i="7"/>
  <c r="E8" i="18" s="1"/>
  <c r="E37" i="7"/>
  <c r="D8" i="18" s="1"/>
  <c r="D37" i="7"/>
  <c r="C8" i="18" s="1"/>
  <c r="C37" i="7"/>
  <c r="B8" i="18" s="1"/>
  <c r="I35" i="7"/>
  <c r="I2" i="7"/>
  <c r="I33" i="7"/>
  <c r="I32" i="7"/>
  <c r="I3" i="7"/>
  <c r="I31" i="7"/>
  <c r="I30" i="7"/>
  <c r="I29" i="7"/>
  <c r="I28" i="7"/>
  <c r="I6" i="7"/>
  <c r="I5" i="7"/>
  <c r="I27" i="7"/>
  <c r="I26" i="7"/>
  <c r="I25" i="7"/>
  <c r="I23" i="7"/>
  <c r="I24" i="7"/>
  <c r="I22" i="7"/>
  <c r="I21" i="7"/>
  <c r="I18" i="7"/>
  <c r="I17" i="7"/>
  <c r="I14" i="7"/>
  <c r="I13" i="7"/>
  <c r="I9" i="7"/>
  <c r="I8" i="7"/>
  <c r="I4" i="7"/>
  <c r="I7" i="7"/>
  <c r="I30" i="6"/>
  <c r="I14" i="6"/>
  <c r="I23" i="6"/>
  <c r="I24" i="6"/>
  <c r="I10" i="6"/>
  <c r="I11" i="6"/>
  <c r="I17" i="6"/>
  <c r="I4" i="6"/>
  <c r="H34" i="6"/>
  <c r="G9" i="18" s="1"/>
  <c r="G34" i="6"/>
  <c r="F9" i="18" s="1"/>
  <c r="F34" i="6"/>
  <c r="E9" i="18" s="1"/>
  <c r="E34" i="6"/>
  <c r="D9" i="18" s="1"/>
  <c r="D34" i="6"/>
  <c r="C9" i="18" s="1"/>
  <c r="C34" i="6"/>
  <c r="B9" i="18" s="1"/>
  <c r="I25" i="6"/>
  <c r="I26" i="6"/>
  <c r="I20" i="6"/>
  <c r="I6" i="6"/>
  <c r="I5" i="6"/>
  <c r="I29" i="6"/>
  <c r="I2" i="6"/>
  <c r="I9" i="6"/>
  <c r="I21" i="6"/>
  <c r="I13" i="6"/>
  <c r="I7" i="6"/>
  <c r="I16" i="6"/>
  <c r="I8" i="6"/>
  <c r="I3" i="6"/>
  <c r="I33" i="6"/>
  <c r="I31" i="6"/>
  <c r="I28" i="6"/>
  <c r="I27" i="6"/>
  <c r="H24" i="5"/>
  <c r="G5" i="18" s="1"/>
  <c r="G17" i="18" s="1"/>
  <c r="G24" i="5"/>
  <c r="F5" i="18" s="1"/>
  <c r="F17" i="18" s="1"/>
  <c r="F24" i="5"/>
  <c r="E5" i="18" s="1"/>
  <c r="E17" i="18" s="1"/>
  <c r="E24" i="5"/>
  <c r="D5" i="18" s="1"/>
  <c r="D24" i="5"/>
  <c r="C24" i="5"/>
  <c r="B5" i="18" s="1"/>
  <c r="I22" i="5"/>
  <c r="I21" i="5"/>
  <c r="I20" i="5"/>
  <c r="I19" i="5"/>
  <c r="I18" i="5"/>
  <c r="I16" i="5"/>
  <c r="I15" i="5"/>
  <c r="I13" i="5"/>
  <c r="I11" i="5"/>
  <c r="I12" i="5"/>
  <c r="I10" i="5"/>
  <c r="I9" i="5"/>
  <c r="I8" i="5"/>
  <c r="I7" i="5"/>
  <c r="I5" i="5"/>
  <c r="I4" i="5"/>
  <c r="I3" i="5"/>
  <c r="I2" i="5"/>
  <c r="H21" i="4"/>
  <c r="G4" i="18" s="1"/>
  <c r="G21" i="4"/>
  <c r="F4" i="18" s="1"/>
  <c r="F16" i="18" s="1"/>
  <c r="F21" i="4"/>
  <c r="E4" i="18" s="1"/>
  <c r="E16" i="18" s="1"/>
  <c r="E21" i="4"/>
  <c r="D4" i="18" s="1"/>
  <c r="D16" i="18" s="1"/>
  <c r="D21" i="4"/>
  <c r="C4" i="18" s="1"/>
  <c r="L16" i="18" s="1"/>
  <c r="C28" i="18" s="1"/>
  <c r="C21" i="4"/>
  <c r="B4" i="18" s="1"/>
  <c r="I6" i="4"/>
  <c r="I3" i="4"/>
  <c r="I20" i="4"/>
  <c r="I19" i="4"/>
  <c r="I4" i="4"/>
  <c r="I18" i="4"/>
  <c r="I17" i="4"/>
  <c r="I7" i="4"/>
  <c r="I15" i="4"/>
  <c r="I16" i="4"/>
  <c r="I14" i="4"/>
  <c r="I13" i="4"/>
  <c r="I12" i="4"/>
  <c r="I5" i="4"/>
  <c r="I9" i="4"/>
  <c r="I10" i="4"/>
  <c r="I2" i="4"/>
  <c r="I8" i="4"/>
  <c r="H22" i="3"/>
  <c r="G3" i="18" s="1"/>
  <c r="G15" i="18" s="1"/>
  <c r="G22" i="3"/>
  <c r="F3" i="18" s="1"/>
  <c r="F15" i="18" s="1"/>
  <c r="F22" i="3"/>
  <c r="E3" i="18" s="1"/>
  <c r="E22" i="3"/>
  <c r="D3" i="18" s="1"/>
  <c r="D22" i="3"/>
  <c r="C3" i="18" s="1"/>
  <c r="C15" i="18" s="1"/>
  <c r="C22" i="3"/>
  <c r="B3" i="18" s="1"/>
  <c r="B15" i="18" s="1"/>
  <c r="I7" i="3"/>
  <c r="I2" i="3"/>
  <c r="I21" i="3"/>
  <c r="I20" i="3"/>
  <c r="I4" i="3"/>
  <c r="I18" i="3"/>
  <c r="I17" i="3"/>
  <c r="I15" i="3"/>
  <c r="I14" i="3"/>
  <c r="I13" i="3"/>
  <c r="I12" i="3"/>
  <c r="I11" i="3"/>
  <c r="I5" i="3"/>
  <c r="I10" i="3"/>
  <c r="I3" i="3"/>
  <c r="I6" i="3"/>
  <c r="I9" i="3"/>
  <c r="I8" i="3"/>
  <c r="I10" i="2"/>
  <c r="I9" i="2"/>
  <c r="I8" i="2"/>
  <c r="I2" i="2"/>
  <c r="I11" i="2"/>
  <c r="D23" i="2"/>
  <c r="C2" i="18" s="1"/>
  <c r="E23" i="2"/>
  <c r="D2" i="18" s="1"/>
  <c r="F23" i="2"/>
  <c r="E2" i="18" s="1"/>
  <c r="G23" i="2"/>
  <c r="F2" i="18" s="1"/>
  <c r="H23" i="2"/>
  <c r="G2" i="18" s="1"/>
  <c r="C23" i="2"/>
  <c r="B2" i="18" s="1"/>
  <c r="I20" i="2"/>
  <c r="I21" i="2"/>
  <c r="I12" i="2"/>
  <c r="I3" i="2"/>
  <c r="I22" i="2"/>
  <c r="I17" i="2"/>
  <c r="I16" i="2"/>
  <c r="I14" i="2"/>
  <c r="I13" i="2"/>
  <c r="I4" i="2"/>
  <c r="I7" i="2"/>
  <c r="I15" i="2"/>
  <c r="I6" i="2"/>
  <c r="I28" i="16" l="1"/>
  <c r="C18" i="18"/>
  <c r="L18" i="18"/>
  <c r="C30" i="18" s="1"/>
  <c r="D18" i="18"/>
  <c r="M18" i="18"/>
  <c r="D30" i="18" s="1"/>
  <c r="N18" i="18"/>
  <c r="E30" i="18" s="1"/>
  <c r="E18" i="18"/>
  <c r="B18" i="18"/>
  <c r="K18" i="18"/>
  <c r="B30" i="18" s="1"/>
  <c r="G18" i="18"/>
  <c r="P18" i="18"/>
  <c r="G30" i="18" s="1"/>
  <c r="O18" i="18"/>
  <c r="F30" i="18" s="1"/>
  <c r="F42" i="18" s="1"/>
  <c r="D17" i="18"/>
  <c r="M17" i="18"/>
  <c r="D29" i="18" s="1"/>
  <c r="D41" i="18" s="1"/>
  <c r="B17" i="18"/>
  <c r="K17" i="18"/>
  <c r="B29" i="18" s="1"/>
  <c r="P17" i="18"/>
  <c r="G29" i="18" s="1"/>
  <c r="G41" i="18" s="1"/>
  <c r="O17" i="18"/>
  <c r="F29" i="18" s="1"/>
  <c r="F41" i="18" s="1"/>
  <c r="N17" i="18"/>
  <c r="E29" i="18" s="1"/>
  <c r="E41" i="18" s="1"/>
  <c r="C19" i="18"/>
  <c r="L19" i="18"/>
  <c r="C31" i="18" s="1"/>
  <c r="F19" i="18"/>
  <c r="O19" i="18"/>
  <c r="F31" i="18" s="1"/>
  <c r="B19" i="18"/>
  <c r="K19" i="18"/>
  <c r="B31" i="18" s="1"/>
  <c r="D19" i="18"/>
  <c r="M19" i="18"/>
  <c r="D31" i="18" s="1"/>
  <c r="E19" i="18"/>
  <c r="N19" i="18"/>
  <c r="E31" i="18" s="1"/>
  <c r="G19" i="18"/>
  <c r="P19" i="18"/>
  <c r="G31" i="18" s="1"/>
  <c r="B16" i="18"/>
  <c r="K16" i="18"/>
  <c r="B28" i="18" s="1"/>
  <c r="P16" i="18"/>
  <c r="G28" i="18" s="1"/>
  <c r="G16" i="18"/>
  <c r="C16" i="18"/>
  <c r="C40" i="18" s="1"/>
  <c r="O16" i="18"/>
  <c r="F28" i="18" s="1"/>
  <c r="F40" i="18" s="1"/>
  <c r="N16" i="18"/>
  <c r="E28" i="18" s="1"/>
  <c r="E40" i="18" s="1"/>
  <c r="M16" i="18"/>
  <c r="D28" i="18" s="1"/>
  <c r="D40" i="18" s="1"/>
  <c r="K20" i="18"/>
  <c r="B32" i="18" s="1"/>
  <c r="B20" i="18"/>
  <c r="E20" i="18"/>
  <c r="N20" i="18"/>
  <c r="E32" i="18" s="1"/>
  <c r="C20" i="18"/>
  <c r="L20" i="18"/>
  <c r="C32" i="18" s="1"/>
  <c r="D20" i="18"/>
  <c r="M20" i="18"/>
  <c r="D32" i="18" s="1"/>
  <c r="F20" i="18"/>
  <c r="O20" i="18"/>
  <c r="F32" i="18" s="1"/>
  <c r="P20" i="18"/>
  <c r="G32" i="18" s="1"/>
  <c r="G44" i="18" s="1"/>
  <c r="D15" i="18"/>
  <c r="M15" i="18"/>
  <c r="D27" i="18" s="1"/>
  <c r="E15" i="18"/>
  <c r="N15" i="18"/>
  <c r="E27" i="18" s="1"/>
  <c r="P15" i="18"/>
  <c r="G27" i="18" s="1"/>
  <c r="G39" i="18" s="1"/>
  <c r="O15" i="18"/>
  <c r="F27" i="18" s="1"/>
  <c r="F39" i="18" s="1"/>
  <c r="K15" i="18"/>
  <c r="B27" i="18" s="1"/>
  <c r="B39" i="18" s="1"/>
  <c r="L15" i="18"/>
  <c r="C27" i="18" s="1"/>
  <c r="C39" i="18" s="1"/>
  <c r="B21" i="18"/>
  <c r="K21" i="18"/>
  <c r="B33" i="18" s="1"/>
  <c r="E21" i="18"/>
  <c r="N21" i="18"/>
  <c r="E33" i="18" s="1"/>
  <c r="G21" i="18"/>
  <c r="P21" i="18"/>
  <c r="G33" i="18" s="1"/>
  <c r="F21" i="18"/>
  <c r="O21" i="18"/>
  <c r="F33" i="18" s="1"/>
  <c r="L21" i="18"/>
  <c r="C33" i="18" s="1"/>
  <c r="C21" i="18"/>
  <c r="D21" i="18"/>
  <c r="M21" i="18"/>
  <c r="D33" i="18" s="1"/>
  <c r="D45" i="18" s="1"/>
  <c r="D14" i="18"/>
  <c r="M14" i="18"/>
  <c r="D26" i="18" s="1"/>
  <c r="F14" i="18"/>
  <c r="O14" i="18"/>
  <c r="F26" i="18" s="1"/>
  <c r="F38" i="18" s="1"/>
  <c r="C14" i="18"/>
  <c r="L14" i="18"/>
  <c r="C26" i="18" s="1"/>
  <c r="C38" i="18" s="1"/>
  <c r="B14" i="18"/>
  <c r="K14" i="18"/>
  <c r="B26" i="18" s="1"/>
  <c r="E14" i="18"/>
  <c r="N14" i="18"/>
  <c r="E26" i="18" s="1"/>
  <c r="G14" i="18"/>
  <c r="P14" i="18"/>
  <c r="G26" i="18" s="1"/>
  <c r="C5" i="18"/>
  <c r="L17" i="18" s="1"/>
  <c r="C29" i="18" s="1"/>
  <c r="B10" i="18"/>
  <c r="F10" i="18"/>
  <c r="H2" i="18"/>
  <c r="H4" i="18"/>
  <c r="E10" i="18"/>
  <c r="H3" i="18"/>
  <c r="H6" i="18"/>
  <c r="H8" i="18"/>
  <c r="D10" i="18"/>
  <c r="H7" i="18"/>
  <c r="G10" i="18"/>
  <c r="H9" i="18"/>
  <c r="I28" i="15"/>
  <c r="I38" i="10"/>
  <c r="I32" i="9"/>
  <c r="I34" i="8"/>
  <c r="I37" i="7"/>
  <c r="I34" i="6"/>
  <c r="I24" i="5"/>
  <c r="I21" i="4"/>
  <c r="I22" i="3"/>
  <c r="I23" i="2"/>
  <c r="B38" i="18" l="1"/>
  <c r="E43" i="18"/>
  <c r="C43" i="18"/>
  <c r="G43" i="18"/>
  <c r="G42" i="18"/>
  <c r="B43" i="18"/>
  <c r="G38" i="18"/>
  <c r="E44" i="18"/>
  <c r="H15" i="18"/>
  <c r="G45" i="18"/>
  <c r="E38" i="18"/>
  <c r="F43" i="18"/>
  <c r="F44" i="18"/>
  <c r="F22" i="18"/>
  <c r="G22" i="18"/>
  <c r="H18" i="18"/>
  <c r="C42" i="18"/>
  <c r="B42" i="18"/>
  <c r="E42" i="18"/>
  <c r="D42" i="18"/>
  <c r="B41" i="18"/>
  <c r="B22" i="18"/>
  <c r="E22" i="18"/>
  <c r="H19" i="18"/>
  <c r="D43" i="18"/>
  <c r="D22" i="18"/>
  <c r="H16" i="18"/>
  <c r="B40" i="18"/>
  <c r="G40" i="18"/>
  <c r="D44" i="18"/>
  <c r="C44" i="18"/>
  <c r="H20" i="18"/>
  <c r="B44" i="18"/>
  <c r="E39" i="18"/>
  <c r="D39" i="18"/>
  <c r="N22" i="18"/>
  <c r="P22" i="18"/>
  <c r="H21" i="18"/>
  <c r="C45" i="18"/>
  <c r="F45" i="18"/>
  <c r="E45" i="18"/>
  <c r="B45" i="18"/>
  <c r="D38" i="18"/>
  <c r="M22" i="18"/>
  <c r="H14" i="18"/>
  <c r="O22" i="18"/>
  <c r="F34" i="18"/>
  <c r="E34" i="18"/>
  <c r="G34" i="18"/>
  <c r="D34" i="18"/>
  <c r="L22" i="18"/>
  <c r="H5" i="18"/>
  <c r="C17" i="18"/>
  <c r="C41" i="18" s="1"/>
  <c r="C10" i="18"/>
  <c r="H10" i="18" s="1"/>
  <c r="G46" i="18" l="1"/>
  <c r="H43" i="18"/>
  <c r="F46" i="18"/>
  <c r="H40" i="18"/>
  <c r="E46" i="18"/>
  <c r="H42" i="18"/>
  <c r="H41" i="18"/>
  <c r="C46" i="18"/>
  <c r="H44" i="18"/>
  <c r="B46" i="18"/>
  <c r="H39" i="18"/>
  <c r="D46" i="18"/>
  <c r="H45" i="18"/>
  <c r="H38" i="18"/>
  <c r="C22" i="18"/>
  <c r="H22" i="18" s="1"/>
  <c r="H17" i="18"/>
  <c r="H46" i="18" l="1"/>
  <c r="C34" i="18"/>
  <c r="H30" i="18"/>
  <c r="H33" i="18"/>
  <c r="H29" i="18"/>
  <c r="H31" i="18"/>
  <c r="H32" i="18"/>
  <c r="H28" i="18"/>
  <c r="H27" i="18"/>
  <c r="Q21" i="18"/>
  <c r="Q17" i="18"/>
  <c r="Q20" i="18"/>
  <c r="Q19" i="18"/>
  <c r="Q16" i="18"/>
  <c r="Q15" i="18"/>
  <c r="Q18" i="18"/>
  <c r="H26" i="18"/>
  <c r="K22" i="18"/>
  <c r="Q22" i="18" s="1"/>
  <c r="Q14" i="18"/>
  <c r="B34" i="18" l="1"/>
  <c r="H34" i="18" s="1"/>
</calcChain>
</file>

<file path=xl/sharedStrings.xml><?xml version="1.0" encoding="utf-8"?>
<sst xmlns="http://schemas.openxmlformats.org/spreadsheetml/2006/main" count="808" uniqueCount="135">
  <si>
    <t>Driver Name</t>
  </si>
  <si>
    <t>Tractor No.</t>
  </si>
  <si>
    <t>Total</t>
  </si>
  <si>
    <t>Pat Moran</t>
  </si>
  <si>
    <t>1850-29</t>
  </si>
  <si>
    <t>Doug Harpring</t>
  </si>
  <si>
    <t>826-24</t>
  </si>
  <si>
    <t>Darren Niehoff</t>
  </si>
  <si>
    <t>1800G-65</t>
  </si>
  <si>
    <t>Mike Yeley</t>
  </si>
  <si>
    <t>766-48</t>
  </si>
  <si>
    <t>Dave Angle</t>
  </si>
  <si>
    <t>1850-11</t>
  </si>
  <si>
    <t>1850-9</t>
  </si>
  <si>
    <t>7/13</t>
  </si>
  <si>
    <t>7/20</t>
  </si>
  <si>
    <t>7/27</t>
  </si>
  <si>
    <t>8/10</t>
  </si>
  <si>
    <t>8/17</t>
  </si>
  <si>
    <t>8/24</t>
  </si>
  <si>
    <t>Kevin Byrnes</t>
  </si>
  <si>
    <t>1850-15</t>
  </si>
  <si>
    <t>1206-64</t>
  </si>
  <si>
    <t>Nate Moran</t>
  </si>
  <si>
    <t>1850-23</t>
  </si>
  <si>
    <t>Bruce Logan</t>
  </si>
  <si>
    <t>1850-52</t>
  </si>
  <si>
    <t>Brice Byrnes</t>
  </si>
  <si>
    <t>706-70</t>
  </si>
  <si>
    <t>Larry Johnson</t>
  </si>
  <si>
    <t>756-25</t>
  </si>
  <si>
    <t>Korbin Mastin</t>
  </si>
  <si>
    <t>806-35S</t>
  </si>
  <si>
    <t>Aaron Mastin</t>
  </si>
  <si>
    <t>706-34</t>
  </si>
  <si>
    <t>Brian Byrnes</t>
  </si>
  <si>
    <t>806-35</t>
  </si>
  <si>
    <t>Andy Mastin</t>
  </si>
  <si>
    <t>Hook Numbers:</t>
  </si>
  <si>
    <t>Justin Chapman</t>
  </si>
  <si>
    <t>Ray Brewer</t>
  </si>
  <si>
    <t>770-38</t>
  </si>
  <si>
    <t>Tim Moran</t>
  </si>
  <si>
    <t>SP-5</t>
  </si>
  <si>
    <t>1650-8</t>
  </si>
  <si>
    <t>UND-30</t>
  </si>
  <si>
    <t>50-50</t>
  </si>
  <si>
    <t>Nate Niehoff</t>
  </si>
  <si>
    <t>460-37</t>
  </si>
  <si>
    <t>Brian Johnson</t>
  </si>
  <si>
    <t>770-26</t>
  </si>
  <si>
    <t>Ernie Essex</t>
  </si>
  <si>
    <t>400-72</t>
  </si>
  <si>
    <t>Ghost-33</t>
  </si>
  <si>
    <t>460-36</t>
  </si>
  <si>
    <t>460-46</t>
  </si>
  <si>
    <t>1600-4</t>
  </si>
  <si>
    <t>Mike Mastin</t>
  </si>
  <si>
    <t>560BL-32</t>
  </si>
  <si>
    <t>656-45</t>
  </si>
  <si>
    <t>Josey Hauk</t>
  </si>
  <si>
    <t>A-22</t>
  </si>
  <si>
    <t>Jason Chapman</t>
  </si>
  <si>
    <t>560-3</t>
  </si>
  <si>
    <t>1650-10</t>
  </si>
  <si>
    <t>?-73</t>
  </si>
  <si>
    <t>?-74</t>
  </si>
  <si>
    <t>Jack Hubbell</t>
  </si>
  <si>
    <t>400-20</t>
  </si>
  <si>
    <t>560-7</t>
  </si>
  <si>
    <t>656-67</t>
  </si>
  <si>
    <t>Phil Waltz</t>
  </si>
  <si>
    <t>560-39</t>
  </si>
  <si>
    <t>Driver Numbers:</t>
  </si>
  <si>
    <t>Class</t>
  </si>
  <si>
    <t>10,000 lbs</t>
  </si>
  <si>
    <t>9,500 lbs</t>
  </si>
  <si>
    <t>9,000 lbs</t>
  </si>
  <si>
    <t>8,500 lbs</t>
  </si>
  <si>
    <t>7,000 lbs</t>
  </si>
  <si>
    <t>6,500 lbs</t>
  </si>
  <si>
    <t>6,000 lbs</t>
  </si>
  <si>
    <t>5,500 lbs</t>
  </si>
  <si>
    <t>Gross</t>
  </si>
  <si>
    <t>Number of Payouts</t>
  </si>
  <si>
    <t>Payout</t>
  </si>
  <si>
    <t>Profit</t>
  </si>
  <si>
    <t>Kirk Trebley</t>
  </si>
  <si>
    <t>1755-40</t>
  </si>
  <si>
    <t>Devon Niehoff</t>
  </si>
  <si>
    <t>Jonathan Everhart</t>
  </si>
  <si>
    <t>806-21</t>
  </si>
  <si>
    <t>Brandon Everhart</t>
  </si>
  <si>
    <t>450-57</t>
  </si>
  <si>
    <t>Shawn McNealy</t>
  </si>
  <si>
    <t>560-59</t>
  </si>
  <si>
    <t>Brady McNealy</t>
  </si>
  <si>
    <t>560-59S</t>
  </si>
  <si>
    <t>Will Kuhn</t>
  </si>
  <si>
    <t>460-37S</t>
  </si>
  <si>
    <t>766-48S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</si>
  <si>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</si>
  <si>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</si>
  <si>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</si>
  <si>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</si>
  <si>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</si>
  <si>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</si>
  <si>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</si>
  <si>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</si>
  <si>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</si>
  <si>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</si>
  <si>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Overall</t>
  </si>
  <si>
    <t>-</t>
  </si>
  <si>
    <t>Points</t>
  </si>
  <si>
    <t>^^^Plaques^^^</t>
  </si>
  <si>
    <t>Classes</t>
  </si>
  <si>
    <t>Driver</t>
  </si>
  <si>
    <t>Tractor</t>
  </si>
  <si>
    <t>^^^Plaques and Magnets^^^</t>
  </si>
  <si>
    <t>Tractor Award</t>
  </si>
  <si>
    <t>Joe Niehoff Memorial</t>
  </si>
  <si>
    <t>^^^Magnet^^^</t>
  </si>
  <si>
    <t>UND-30 S</t>
  </si>
  <si>
    <t>7/12</t>
  </si>
  <si>
    <t>7/19</t>
  </si>
  <si>
    <t>7/26</t>
  </si>
  <si>
    <t>8/9</t>
  </si>
  <si>
    <t>8/16</t>
  </si>
  <si>
    <t>8/23</t>
  </si>
  <si>
    <t>Carson Baker</t>
  </si>
  <si>
    <t>400-71</t>
  </si>
  <si>
    <t>88-54</t>
  </si>
  <si>
    <t>706-53</t>
  </si>
  <si>
    <t>Gavin Chapman</t>
  </si>
  <si>
    <t>73S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</si>
</sst>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1" fontId="1" fillId="3" borderId="3" xfId="0" applyNumberFormat="1" applyFont="1" applyFill="1" applyBorder="1"/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Normal" xfId="0" builtinId="0"/>
  </cellStyles>
  <dxfs count="3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rgb="FF000000"/>
        <name val="Arial"/>
        <family val="2"/>
        <scheme val="none"/>
      </font>
      <numFmt numFmtId="164" formatCode="m/d;@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none"/>
      </font>
      <numFmt numFmtId="164" formatCode="m/d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F9074E8-246E-4481-8887-EC5044022E3B}" name="Table134567" displayName="Table134567" ref="A1:I34" totalsRowCount="1" headerRowDxfId="296" dataDxfId="295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89C06D93-B3AA-4F3B-AB45-0A748D348CED}" name="Driver Name" dataDxfId="294" totalsRowDxfId="53"/>
    <tableColumn id="2" xr3:uid="{CF343CEB-4024-413B-83F8-33271069A9F2}" name="Tractor No." totalsRowLabel="Hook Numbers:" dataDxfId="293" totalsRowDxfId="52"/>
    <tableColumn id="3" xr3:uid="{CA968BFF-082E-4AB2-AD04-F00F4504AA46}" name="7/12" totalsRowFunction="custom" dataDxfId="292" totalsRowDxfId="51">
      <totalsRowFormula>COUNTIF(Table134567[7/12],"&lt;11")</totalsRowFormula>
    </tableColumn>
    <tableColumn id="4" xr3:uid="{0EE8D6F7-0D32-49B9-BCB9-3518A2E52F38}" name="7/19" totalsRowFunction="custom" dataDxfId="291" totalsRowDxfId="50">
      <totalsRowFormula>COUNTIF(Table134567[7/19],"&lt;11")</totalsRowFormula>
    </tableColumn>
    <tableColumn id="5" xr3:uid="{F77B7B3F-1422-460A-AFC6-2B62B2B560FF}" name="7/26" totalsRowFunction="custom" dataDxfId="290" totalsRowDxfId="49">
      <totalsRowFormula>COUNTIF(Table134567[7/26],"&lt;11")</totalsRowFormula>
    </tableColumn>
    <tableColumn id="6" xr3:uid="{97FD76F8-D478-4A5C-9D09-DBDF48283313}" name="8/9" totalsRowFunction="custom" dataDxfId="289" totalsRowDxfId="48">
      <totalsRowFormula>COUNTIF(Table134567[8/9],"&lt;11")</totalsRowFormula>
    </tableColumn>
    <tableColumn id="7" xr3:uid="{7FF193FD-3D6E-4B01-8A6F-B53F5C0BDF7B}" name="8/16" totalsRowFunction="custom" dataDxfId="288" totalsRowDxfId="47">
      <totalsRowFormula>COUNTIF(Table134567[8/16],"&lt;11")</totalsRowFormula>
    </tableColumn>
    <tableColumn id="8" xr3:uid="{C763B493-F20F-450E-BBAC-858AF8381593}" name="8/23" totalsRowFunction="custom" dataDxfId="287" totalsRowDxfId="46">
      <totalsRowFormula>COUNTIF(Table134567[8/23],"&lt;11")</totalsRowFormula>
    </tableColumn>
    <tableColumn id="9" xr3:uid="{B2BC0CF2-EE74-4845-9D18-4D6265818545}" name="Total" totalsRowFunction="custom" dataDxfId="286" totalsRowDxfId="45">
      <calculatedColumnFormula>SUM(C2:H2)</calculatedColumnFormula>
      <totalsRowFormula>SUM(Table134567[[#Totals],[7/12]:[8/23]])</totalsRow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78E796-2668-4423-B9E6-A7EB0B80B89E}" name="Table134567891013" displayName="Table134567891013" ref="A1:H47" totalsRowShown="0" headerRowDxfId="241" dataDxfId="240">
  <autoFilter ref="A1:H47" xr:uid="{55FB3381-9F2D-4F03-9EC3-ED5CC3D20466}"/>
  <sortState xmlns:xlrd2="http://schemas.microsoft.com/office/spreadsheetml/2017/richdata2" ref="A2:H47">
    <sortCondition descending="1" ref="H1:H47"/>
  </sortState>
  <tableColumns count="8">
    <tableColumn id="2" xr3:uid="{AD08164A-B146-4804-8C8F-591ED5263E94}" name="Tractor No." dataDxfId="239" totalsRowDxfId="238"/>
    <tableColumn id="3" xr3:uid="{AEF6C949-C4F7-44C0-8FB2-1CC7A4C52EAD}" name="7/12" dataDxfId="237" totalsRowDxfId="236"/>
    <tableColumn id="4" xr3:uid="{26637CF8-ECAA-4084-B693-51C1833994E5}" name="7/19" dataDxfId="235" totalsRowDxfId="234"/>
    <tableColumn id="5" xr3:uid="{6A2EC179-08C8-4699-884F-7F884C21515E}" name="7/26" dataDxfId="233" totalsRowDxfId="232"/>
    <tableColumn id="6" xr3:uid="{919FAB37-D4AF-49D5-943D-E73655EFEA37}" name="8/9" dataDxfId="231" totalsRowDxfId="230"/>
    <tableColumn id="7" xr3:uid="{C70E1B5E-7F55-404F-B4BA-5B4825C8BE07}" name="8/16" dataDxfId="229" totalsRowDxfId="228"/>
    <tableColumn id="8" xr3:uid="{5246EFEE-37A9-42DD-B3C3-CCD09A16FC67}" name="8/23" dataDxfId="227" totalsRowDxfId="226"/>
    <tableColumn id="9" xr3:uid="{55AEECB8-6B60-45B6-8614-EDD5DE8C2213}" name="Total" dataDxfId="225" totalsRowDxfId="224">
      <calculatedColumnFormula>SUM(B2:G2)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1F85EC-996D-4660-8F58-CC9427E50228}" name="Table13456789101114" displayName="Table13456789101114" ref="A1:I28" totalsRowCount="1" headerRowDxfId="223" dataDxfId="222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A01D547-BCE1-44FA-A116-CF28E52D446A}" name="Driver Name" dataDxfId="221" totalsRowDxfId="17"/>
    <tableColumn id="2" xr3:uid="{5AD45522-5E51-4049-8442-9A865479412E}" name="Tractor No." totalsRowLabel="Driver Numbers:" dataDxfId="220" totalsRowDxfId="16"/>
    <tableColumn id="3" xr3:uid="{C753A050-686F-4666-BFF9-92BD2EAF19F3}" name="7/12" totalsRowFunction="custom" dataDxfId="219" totalsRowDxfId="15">
      <totalsRowFormula>COUNTIF(Table13456789101114[7/12],"&lt;110")</totalsRowFormula>
    </tableColumn>
    <tableColumn id="4" xr3:uid="{D49DC0B9-08B9-43A4-ADEA-677FAEA07A69}" name="7/19" totalsRowFunction="custom" dataDxfId="218" totalsRowDxfId="14">
      <totalsRowFormula>COUNTIF(Table13456789101114[7/19],"&lt;11")</totalsRowFormula>
    </tableColumn>
    <tableColumn id="5" xr3:uid="{5BA3E90B-F3A4-48A5-9B97-6ACA1B6DC935}" name="7/26" totalsRowFunction="custom" dataDxfId="217" totalsRowDxfId="13">
      <totalsRowFormula>COUNTIF(Table13456789101114[7/26],"&lt;11")</totalsRowFormula>
    </tableColumn>
    <tableColumn id="6" xr3:uid="{D0019921-03A5-4288-9ED8-265DA16E8B1C}" name="8/9" totalsRowFunction="custom" dataDxfId="216" totalsRowDxfId="12">
      <totalsRowFormula>COUNTIF(Table13456789101114[8/9],"&lt;11")</totalsRowFormula>
    </tableColumn>
    <tableColumn id="7" xr3:uid="{75E8F001-7954-4E4D-AEE4-2DA3BD90B24E}" name="8/16" totalsRowFunction="custom" dataDxfId="215" totalsRowDxfId="11">
      <totalsRowFormula>COUNTIF(Table13456789101114[8/16],"&lt;11")</totalsRowFormula>
    </tableColumn>
    <tableColumn id="8" xr3:uid="{3D264CD9-1DE8-489B-B260-4ED752C47CBC}" name="8/23" totalsRowFunction="custom" dataDxfId="214" totalsRowDxfId="10">
      <totalsRowFormula>COUNTIF(Table13456789101114[8/23],"&lt;11")</totalsRowFormula>
    </tableColumn>
    <tableColumn id="9" xr3:uid="{A4DE0264-ED85-4F5F-935D-887C2FFA7AF4}" name="Total" totalsRowFunction="custom" dataDxfId="213" totalsRowDxfId="9">
      <calculatedColumnFormula>SUM(C2:H2)</calculatedColumnFormula>
      <totalsRowFormula>SUM(Table13456789101114[[#Totals],[7/12]:[8/23]])</totalsRow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F7B709-D4D2-4532-8AFC-3BD22BF108A9}" name="Table13456789101115" displayName="Table13456789101115" ref="A1:I28" totalsRowCount="1" headerRowDxfId="212" dataDxfId="211">
  <autoFilter ref="A1:I27" xr:uid="{55FB3381-9F2D-4F03-9EC3-ED5CC3D20466}"/>
  <sortState xmlns:xlrd2="http://schemas.microsoft.com/office/spreadsheetml/2017/richdata2" ref="A2:I27">
    <sortCondition descending="1" ref="I1:I27"/>
  </sortState>
  <tableColumns count="9">
    <tableColumn id="1" xr3:uid="{419EFBD7-D398-4EC8-9EA2-5FFF61AD9DDC}" name="Driver Name" dataDxfId="210" totalsRowDxfId="8"/>
    <tableColumn id="2" xr3:uid="{BEF66E49-5483-405D-B0EC-5D0FBF943359}" name="Tractor No." totalsRowLabel="Driver Numbers:" dataDxfId="209" totalsRowDxfId="7"/>
    <tableColumn id="3" xr3:uid="{4DE95CFB-E33A-4349-8CF4-60C05C22789A}" name="7/12" totalsRowFunction="custom" dataDxfId="208" totalsRowDxfId="6">
      <totalsRowFormula>COUNTIF(Table13456789101115[7/12],"&lt;110")</totalsRowFormula>
    </tableColumn>
    <tableColumn id="4" xr3:uid="{5B178A00-F5DD-46DA-987D-8436EE6FBE99}" name="7/19" totalsRowFunction="custom" dataDxfId="207" totalsRowDxfId="5">
      <totalsRowFormula>COUNTIF(Table13456789101115[7/19],"&lt;11")</totalsRowFormula>
    </tableColumn>
    <tableColumn id="5" xr3:uid="{7873CA82-D36F-4684-BED8-98B805406696}" name="7/26" totalsRowFunction="custom" dataDxfId="206" totalsRowDxfId="4">
      <totalsRowFormula>COUNTIF(Table13456789101115[7/26],"&lt;11")</totalsRowFormula>
    </tableColumn>
    <tableColumn id="6" xr3:uid="{C5D82F9C-9763-4BDF-8B95-1787B0DCBA2E}" name="8/9" totalsRowFunction="custom" dataDxfId="205" totalsRowDxfId="3">
      <totalsRowFormula>COUNTIF(Table13456789101115[8/9],"&lt;11")</totalsRowFormula>
    </tableColumn>
    <tableColumn id="7" xr3:uid="{028141EB-7FD1-44E9-9A12-0AB6326D5B4F}" name="8/16" totalsRowFunction="custom" dataDxfId="204" totalsRowDxfId="2">
      <totalsRowFormula>COUNTIF(Table13456789101115[8/16],"&lt;11")</totalsRowFormula>
    </tableColumn>
    <tableColumn id="8" xr3:uid="{6322C256-5B4F-4461-A05D-33E275E74934}" name="8/23" totalsRowFunction="custom" dataDxfId="203" totalsRowDxfId="1">
      <totalsRowFormula>COUNTIF(Table13456789101115[8/23],"&lt;11")</totalsRowFormula>
    </tableColumn>
    <tableColumn id="9" xr3:uid="{401A5F41-F356-4D62-B02E-E411FA519A5C}" name="Total" totalsRowFunction="custom" dataDxfId="202" totalsRowDxfId="0">
      <calculatedColumnFormula>SUM(C2:H2)</calculatedColumnFormula>
      <totalsRowFormula>SUM(Table13456789101115[[#Totals],[7/12]:[8/23]])</totalsRow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8117CE9-6BA9-4981-AE6B-6C55705F27E7}" name="Table134567891016" displayName="Table134567891016" ref="A1:H10" totalsRowCount="1" headerRowDxfId="201" dataDxfId="200">
  <autoFilter ref="A1:H9" xr:uid="{55FB3381-9F2D-4F03-9EC3-ED5CC3D20466}"/>
  <sortState xmlns:xlrd2="http://schemas.microsoft.com/office/spreadsheetml/2017/richdata2" ref="A2:H9">
    <sortCondition descending="1" ref="H1:H9"/>
  </sortState>
  <tableColumns count="8">
    <tableColumn id="1" xr3:uid="{7B9CF79E-80F1-438B-A20F-A3E41A677CEA}" name="Class" dataDxfId="199" totalsRowDxfId="106"/>
    <tableColumn id="3" xr3:uid="{F1FB1EFD-7F69-4A63-A9A5-7E6878F0A084}" name="7/12" totalsRowFunction="custom" dataDxfId="198" totalsRowDxfId="105">
      <totalsRowFormula>SUM(Table134567891016[7/12])</totalsRowFormula>
    </tableColumn>
    <tableColumn id="4" xr3:uid="{4E876F83-84DC-4378-820C-E0FBBAE4F507}" name="7/19" totalsRowFunction="custom" dataDxfId="197" totalsRowDxfId="104">
      <totalsRowFormula>SUM(Table134567891016[7/19])</totalsRowFormula>
    </tableColumn>
    <tableColumn id="5" xr3:uid="{A83ADABE-E495-4194-BAB8-F34644945D6F}" name="7/26" totalsRowFunction="custom" dataDxfId="196" totalsRowDxfId="103">
      <totalsRowFormula>SUM(Table134567891016[7/26])</totalsRowFormula>
    </tableColumn>
    <tableColumn id="6" xr3:uid="{0E837A9F-594B-4D1C-AC1A-FA7589235FA6}" name="8/9" totalsRowFunction="custom" dataDxfId="195" totalsRowDxfId="102">
      <totalsRowFormula>SUM(Table134567891016[8/9])</totalsRowFormula>
    </tableColumn>
    <tableColumn id="7" xr3:uid="{E8C135C4-F050-46B3-B803-0B679BFBF72A}" name="8/16" totalsRowFunction="custom" dataDxfId="194" totalsRowDxfId="101">
      <totalsRowFormula>SUM(Table134567891016[8/16])</totalsRowFormula>
    </tableColumn>
    <tableColumn id="8" xr3:uid="{5D4E63FD-49FB-49DC-B24C-188528E1E982}" name="8/23" totalsRowFunction="custom" dataDxfId="193" totalsRowDxfId="100">
      <totalsRowFormula>SUM(Table134567891016[8/23])</totalsRowFormula>
    </tableColumn>
    <tableColumn id="9" xr3:uid="{B2AEDB5E-FA27-4AC0-A421-047C1928B262}" name="Total" totalsRowFunction="custom" dataDxfId="192" totalsRowDxfId="99">
      <calculatedColumnFormula>SUM(B2:G2)</calculatedColumnFormula>
      <totalsRowFormula>SUM(Table134567891016[[#Totals],[7/12]:[8/23]])</totalsRow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202D083-DAF3-4AF6-ADA3-1E7374ABED37}" name="Table13456789101622" displayName="Table13456789101622" ref="A13:H22" totalsRowCount="1" headerRowDxfId="191" dataDxfId="190">
  <autoFilter ref="A13:H21" xr:uid="{C202D083-DAF3-4AF6-ADA3-1E7374ABED37}"/>
  <sortState xmlns:xlrd2="http://schemas.microsoft.com/office/spreadsheetml/2017/richdata2" ref="A14:H21">
    <sortCondition descending="1" ref="H1:H9"/>
  </sortState>
  <tableColumns count="8">
    <tableColumn id="1" xr3:uid="{7B7B3446-1D5F-409D-B9C4-7E6395BD0843}" name="Class" dataDxfId="189" totalsRowDxfId="188"/>
    <tableColumn id="3" xr3:uid="{7B332457-2900-422B-8040-DEF9FCC59304}" name="7/13" totalsRowFunction="custom" dataDxfId="187">
      <calculatedColumnFormula>B2*5</calculatedColumnFormula>
      <totalsRowFormula>SUM(Table13456789101622[7/13])</totalsRowFormula>
    </tableColumn>
    <tableColumn id="4" xr3:uid="{CFBDF9E5-6F5C-4626-90CA-9483927EB57C}" name="7/20" totalsRowFunction="custom" dataDxfId="186">
      <calculatedColumnFormula>C2*5</calculatedColumnFormula>
      <totalsRowFormula>SUM(Table13456789101622[7/20])</totalsRowFormula>
    </tableColumn>
    <tableColumn id="5" xr3:uid="{71C50F3A-9D1F-409F-9105-CBC0DD46D543}" name="7/27" totalsRowFunction="custom" dataDxfId="185">
      <calculatedColumnFormula>D2*5</calculatedColumnFormula>
      <totalsRowFormula>SUM(Table13456789101622[7/27])</totalsRowFormula>
    </tableColumn>
    <tableColumn id="6" xr3:uid="{8014963E-A7ED-431F-A5F0-68B6DB216CC4}" name="8/10" totalsRowFunction="custom" dataDxfId="184">
      <calculatedColumnFormula>E2*5</calculatedColumnFormula>
      <totalsRowFormula>SUM(Table13456789101622[8/10])</totalsRowFormula>
    </tableColumn>
    <tableColumn id="7" xr3:uid="{0C7F2960-59DD-4278-9604-5203CAACAC93}" name="8/17" totalsRowFunction="custom" dataDxfId="183">
      <calculatedColumnFormula>F2*5</calculatedColumnFormula>
      <totalsRowFormula>SUM(Table13456789101622[8/17])</totalsRowFormula>
    </tableColumn>
    <tableColumn id="8" xr3:uid="{E4AC050C-8EA1-413F-805A-CE05F6E6BF99}" name="8/24" totalsRowFunction="custom" dataDxfId="182">
      <calculatedColumnFormula>G2*5</calculatedColumnFormula>
      <totalsRowFormula>SUM(Table13456789101622[8/24])</totalsRowFormula>
    </tableColumn>
    <tableColumn id="9" xr3:uid="{DC484477-07CA-468B-9F74-D683FEAF5506}" name="Total" totalsRowFunction="custom" dataDxfId="181">
      <calculatedColumnFormula>SUM(B14:G14)</calculatedColumnFormula>
      <totalsRowFormula>SUM(Table13456789101622[[#Totals],[7/13]:[8/24]])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B0779A-D169-40DD-A500-34BC1EC7525F}" name="Table1345678910162223" displayName="Table1345678910162223" ref="A25:H34" totalsRowCount="1" headerRowDxfId="180" dataDxfId="179">
  <autoFilter ref="A25:H33" xr:uid="{81B0779A-D169-40DD-A500-34BC1EC7525F}"/>
  <sortState xmlns:xlrd2="http://schemas.microsoft.com/office/spreadsheetml/2017/richdata2" ref="A26:H33">
    <sortCondition descending="1" ref="H1:H9"/>
  </sortState>
  <tableColumns count="8">
    <tableColumn id="1" xr3:uid="{09E27EEE-84B8-4C3F-B8C2-D3F0A2DA6F07}" name="Class" dataDxfId="178" totalsRowDxfId="177"/>
    <tableColumn id="3" xr3:uid="{EBC8378C-D4E2-40B9-92FF-F6209313B851}" name="7/13" totalsRowFunction="custom" dataDxfId="176" totalsRowDxfId="175">
      <calculatedColumnFormula>IF(K14*5+5=5,0,K14*5+5)</calculatedColumnFormula>
      <totalsRowFormula>SUM(Table1345678910162223[7/13])</totalsRowFormula>
    </tableColumn>
    <tableColumn id="4" xr3:uid="{C888FCEA-D487-42B1-A89D-70ED9ED0C98A}" name="7/20" totalsRowFunction="custom" dataDxfId="174" totalsRowDxfId="173">
      <calculatedColumnFormula>IF(L14*5+5=5,0,L14*5+5)</calculatedColumnFormula>
      <totalsRowFormula>SUM(Table1345678910162223[7/20])</totalsRowFormula>
    </tableColumn>
    <tableColumn id="5" xr3:uid="{48CB9393-73D2-45BE-AEEC-49609DB7A106}" name="7/27" totalsRowFunction="custom" dataDxfId="172" totalsRowDxfId="171">
      <calculatedColumnFormula>IF(M14*5+5=5,0,M14*5+5)</calculatedColumnFormula>
      <totalsRowFormula>SUM(Table1345678910162223[7/27])</totalsRowFormula>
    </tableColumn>
    <tableColumn id="6" xr3:uid="{D06481CA-5697-41DE-AB50-8A7301CADCF1}" name="8/10" totalsRowFunction="custom" dataDxfId="170" totalsRowDxfId="169">
      <calculatedColumnFormula>IF(N14*5+5=5,0,N14*5+5)</calculatedColumnFormula>
      <totalsRowFormula>SUM(Table1345678910162223[8/10])</totalsRowFormula>
    </tableColumn>
    <tableColumn id="7" xr3:uid="{11857959-D4BB-4A91-9469-680B24576971}" name="8/17" totalsRowFunction="custom" dataDxfId="168" totalsRowDxfId="167">
      <calculatedColumnFormula>IF(O14*5+5=5,0,O14*5+5)</calculatedColumnFormula>
      <totalsRowFormula>SUM(Table1345678910162223[8/17])</totalsRowFormula>
    </tableColumn>
    <tableColumn id="8" xr3:uid="{17755962-4D74-4AB5-9BF8-91422D44841D}" name="8/24" totalsRowFunction="custom" dataDxfId="166" totalsRowDxfId="165">
      <calculatedColumnFormula>IF(P14*5+5=5,0,P14*5+5)</calculatedColumnFormula>
      <totalsRowFormula>SUM(Table1345678910162223[8/24])</totalsRowFormula>
    </tableColumn>
    <tableColumn id="9" xr3:uid="{128DD0B6-2689-458B-A779-38A8E134F68A}" name="Total" totalsRowFunction="custom" dataDxfId="164" totalsRowDxfId="163">
      <calculatedColumnFormula>SUM(B26:G26)</calculatedColumnFormula>
      <totalsRowFormula>SUM(Table1345678910162223[[#Totals],[7/13]:[8/24]])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C0CFC3E-3165-42F3-B793-3254DC681798}" name="Table134567891016222324" displayName="Table134567891016222324" ref="J13:Q22" totalsRowCount="1" headerRowDxfId="162" dataDxfId="161">
  <autoFilter ref="J13:Q21" xr:uid="{DC0CFC3E-3165-42F3-B793-3254DC681798}"/>
  <sortState xmlns:xlrd2="http://schemas.microsoft.com/office/spreadsheetml/2017/richdata2" ref="J14:Q21">
    <sortCondition descending="1" ref="Q1:Q9"/>
  </sortState>
  <tableColumns count="8">
    <tableColumn id="1" xr3:uid="{C2C2CA6C-FF97-42DB-AA62-0188B93952BD}" name="Class" dataDxfId="160" totalsRowDxfId="159"/>
    <tableColumn id="3" xr3:uid="{0C4C5EE4-9353-4E14-AF97-8997BAE497E7}" name="7/13" totalsRowFunction="custom" dataDxfId="158" totalsRowDxfId="157">
      <calculatedColumnFormula>IF(ROUNDDOWN(B2/3,0)&gt;6,6,ROUNDDOWN(B2/3,0))</calculatedColumnFormula>
      <totalsRowFormula>SUM(Table134567891016222324[7/13])</totalsRowFormula>
    </tableColumn>
    <tableColumn id="4" xr3:uid="{770787C7-666A-4605-BFF0-77FFB51780E0}" name="7/20" totalsRowFunction="custom" dataDxfId="156" totalsRowDxfId="155">
      <calculatedColumnFormula>IF(ROUNDDOWN(C2/3,0)&gt;6,6,ROUNDDOWN(C2/3,0))</calculatedColumnFormula>
      <totalsRowFormula>SUM(Table134567891016222324[7/20])</totalsRowFormula>
    </tableColumn>
    <tableColumn id="5" xr3:uid="{AB7395E4-845E-46BA-A4AC-92B78B0CD678}" name="7/27" totalsRowFunction="custom" dataDxfId="154" totalsRowDxfId="153">
      <calculatedColumnFormula>IF(ROUNDDOWN(D2/3,0)&gt;6,6,ROUNDDOWN(D2/3,0))</calculatedColumnFormula>
      <totalsRowFormula>SUM(Table134567891016222324[7/27])</totalsRowFormula>
    </tableColumn>
    <tableColumn id="6" xr3:uid="{0695BCBA-7892-48F7-B299-4CA9724F8FE1}" name="8/10" totalsRowFunction="custom" dataDxfId="152" totalsRowDxfId="151">
      <calculatedColumnFormula>IF(ROUNDDOWN(E2/3,0)&gt;6,6,ROUNDDOWN(E2/3,0))</calculatedColumnFormula>
      <totalsRowFormula>SUM(Table134567891016222324[8/10])</totalsRowFormula>
    </tableColumn>
    <tableColumn id="7" xr3:uid="{47904307-5377-4EE0-A7A3-D8998CF596E5}" name="8/17" totalsRowFunction="custom" dataDxfId="150" totalsRowDxfId="149">
      <calculatedColumnFormula>IF(ROUNDDOWN(F2/3,0)&gt;6,6,ROUNDDOWN(F2/3,0))</calculatedColumnFormula>
      <totalsRowFormula>SUM(Table134567891016222324[8/17])</totalsRowFormula>
    </tableColumn>
    <tableColumn id="8" xr3:uid="{2FD89A69-6422-4768-90C7-DE0B45E41276}" name="8/24" totalsRowFunction="custom" dataDxfId="148" totalsRowDxfId="147">
      <calculatedColumnFormula>IF(ROUNDDOWN(G2/3,0)&gt;6,6,ROUNDDOWN(G2/3,0))</calculatedColumnFormula>
      <totalsRowFormula>SUM(Table134567891016222324[8/24])</totalsRowFormula>
    </tableColumn>
    <tableColumn id="9" xr3:uid="{EDF5EA77-8198-4AE8-9041-6D6638B4A6F1}" name="Total" totalsRowFunction="custom" dataDxfId="146" totalsRowDxfId="145">
      <calculatedColumnFormula>SUM(K14:P14)</calculatedColumnFormula>
      <totalsRowFormula>SUM(Table134567891016222324[[#Totals],[7/13]:[8/24]])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645356-499D-488C-9156-BFE6C240F277}" name="Table134567891016222325" displayName="Table134567891016222325" ref="A37:H46" totalsRowCount="1" headerRowDxfId="144" dataDxfId="143">
  <autoFilter ref="A37:H45" xr:uid="{48645356-499D-488C-9156-BFE6C240F277}"/>
  <sortState xmlns:xlrd2="http://schemas.microsoft.com/office/spreadsheetml/2017/richdata2" ref="A38:H45">
    <sortCondition descending="1" ref="H1:H9"/>
  </sortState>
  <tableColumns count="8">
    <tableColumn id="1" xr3:uid="{6B8CB939-016B-4BCF-B1FD-89D2A71244EC}" name="Class" dataDxfId="142" totalsRowDxfId="141"/>
    <tableColumn id="3" xr3:uid="{C6BEB916-4D7C-4B48-B764-2F5F951A2CE4}" name="7/13" totalsRowFunction="custom" dataDxfId="140" totalsRowDxfId="139">
      <calculatedColumnFormula>B14-B26</calculatedColumnFormula>
      <totalsRowFormula>SUM(Table134567891016222325[7/13])</totalsRowFormula>
    </tableColumn>
    <tableColumn id="4" xr3:uid="{1439DEB4-FDED-4A26-AB11-CADFFE9F6DD9}" name="7/20" totalsRowFunction="custom" dataDxfId="138" totalsRowDxfId="137">
      <calculatedColumnFormula>C14-C26</calculatedColumnFormula>
      <totalsRowFormula>SUM(Table134567891016222325[7/20])</totalsRowFormula>
    </tableColumn>
    <tableColumn id="5" xr3:uid="{E2F5FD40-FA70-4A2A-A2AF-9A964061222D}" name="7/27" totalsRowFunction="custom" dataDxfId="136" totalsRowDxfId="135">
      <calculatedColumnFormula>D14-D26</calculatedColumnFormula>
      <totalsRowFormula>SUM(Table134567891016222325[7/27])</totalsRowFormula>
    </tableColumn>
    <tableColumn id="6" xr3:uid="{198C7690-EAD0-48D5-B417-3B39DF88F755}" name="8/10" totalsRowFunction="custom" dataDxfId="134" totalsRowDxfId="133">
      <calculatedColumnFormula>E14-E26</calculatedColumnFormula>
      <totalsRowFormula>SUM(Table134567891016222325[8/10])</totalsRowFormula>
    </tableColumn>
    <tableColumn id="7" xr3:uid="{45648D2C-927F-4F39-80C2-BA1C0760287C}" name="8/17" totalsRowFunction="custom" dataDxfId="132" totalsRowDxfId="131">
      <calculatedColumnFormula>F14-F26</calculatedColumnFormula>
      <totalsRowFormula>SUM(Table134567891016222325[8/17])</totalsRowFormula>
    </tableColumn>
    <tableColumn id="8" xr3:uid="{102FDBC0-0E04-4674-8F8B-28545D47A2B5}" name="8/24" totalsRowFunction="custom" dataDxfId="130" totalsRowDxfId="129">
      <calculatedColumnFormula>G14-G26</calculatedColumnFormula>
      <totalsRowFormula>SUM(Table134567891016222325[8/24])</totalsRowFormula>
    </tableColumn>
    <tableColumn id="9" xr3:uid="{B9A4645F-4FB2-4456-88B6-CA46EA022075}" name="Total" totalsRowFunction="custom" dataDxfId="128" totalsRowDxfId="127">
      <calculatedColumnFormula>SUM(B38:G38)</calculatedColumnFormula>
      <totalsRowFormula>SUM(Table134567891016222325[[#Totals],[7/13]:[8/24]])</totalsRow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50067C-4588-42C0-BA8B-345D94FE89BF}" name="Table13456789101112" displayName="Table13456789101112" ref="A1:D11" totalsRowShown="0" headerRowDxfId="126" dataDxfId="125">
  <autoFilter ref="A1:D11" xr:uid="{55FB3381-9F2D-4F03-9EC3-ED5CC3D20466}"/>
  <tableColumns count="4">
    <tableColumn id="1" xr3:uid="{C1EEAF31-018C-41BF-9582-8B01ECCAFD0F}" name="Overall" dataDxfId="124" totalsRowDxfId="123"/>
    <tableColumn id="2" xr3:uid="{937A5EEE-335F-4BF5-9E21-8472FD86F3B1}" name="Driver" dataDxfId="122" totalsRowDxfId="121"/>
    <tableColumn id="3" xr3:uid="{A58C3BCF-C773-4420-B552-EF21A020E38F}" name="-" dataDxfId="120" totalsRowDxfId="119"/>
    <tableColumn id="4" xr3:uid="{9D530F2D-6861-4DBF-B593-E06D17A4A394}" name="Points" dataDxfId="118" totalsRowDxfId="11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FBD3F8-8AA3-40E9-B0F0-D08D4C3901BF}" name="Table1345678910111217" displayName="Table1345678910111217" ref="A15:D23" totalsRowShown="0" headerRowDxfId="116" dataDxfId="115">
  <autoFilter ref="A15:D23" xr:uid="{C7FBD3F8-8AA3-40E9-B0F0-D08D4C3901BF}"/>
  <tableColumns count="4">
    <tableColumn id="1" xr3:uid="{F79EDD8A-7839-4922-9C5A-7BC2386B62F9}" name="Classes" dataDxfId="114" totalsRowDxfId="113"/>
    <tableColumn id="2" xr3:uid="{D3164E2E-1D80-45B2-B166-7B0342FCF200}" name="Driver" dataDxfId="112" totalsRowDxfId="111"/>
    <tableColumn id="3" xr3:uid="{C0DFD909-D886-4CB9-A632-E59830C95577}" name="Tractor" dataDxfId="110" totalsRowDxfId="109"/>
    <tableColumn id="4" xr3:uid="{C562FC04-A57F-4D25-A2A2-D7BA5633BFC0}" name="Points" dataDxfId="108" totalsRowDxfId="107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AEF1D52-A5CC-468C-92D2-1F26CCB03706}" name="Table1345678" displayName="Table1345678" ref="A1:I37" totalsRowCount="1" headerRowDxfId="285" dataDxfId="284">
  <autoFilter ref="A1:I36" xr:uid="{55FB3381-9F2D-4F03-9EC3-ED5CC3D20466}"/>
  <sortState xmlns:xlrd2="http://schemas.microsoft.com/office/spreadsheetml/2017/richdata2" ref="A2:I36">
    <sortCondition descending="1" ref="I1:I36"/>
  </sortState>
  <tableColumns count="9">
    <tableColumn id="1" xr3:uid="{941E2F70-5F18-4151-8966-A0C5CA20B931}" name="Driver Name" dataDxfId="283" totalsRowDxfId="80"/>
    <tableColumn id="2" xr3:uid="{52AB0CE5-4049-496E-B1C2-8A00CF96585D}" name="Tractor No." totalsRowLabel="Hook Numbers:" dataDxfId="282" totalsRowDxfId="79"/>
    <tableColumn id="3" xr3:uid="{53C7D12F-39FE-4C16-AD43-848831899D82}" name="7/12" totalsRowFunction="custom" dataDxfId="281" totalsRowDxfId="78">
      <totalsRowFormula>COUNTIF(Table1345678[7/12],"&lt;11")</totalsRowFormula>
    </tableColumn>
    <tableColumn id="4" xr3:uid="{8B98146A-298D-490B-A99F-2D3136501D83}" name="7/19" totalsRowFunction="custom" dataDxfId="280" totalsRowDxfId="77">
      <totalsRowFormula>COUNTIF(Table1345678[7/19],"&lt;11")</totalsRowFormula>
    </tableColumn>
    <tableColumn id="5" xr3:uid="{F40153B8-D198-4482-BD59-DAC22D2DE049}" name="7/26" totalsRowFunction="custom" dataDxfId="279" totalsRowDxfId="76">
      <totalsRowFormula>COUNTIF(Table1345678[7/26],"&lt;11")</totalsRowFormula>
    </tableColumn>
    <tableColumn id="6" xr3:uid="{769D5284-B3C1-44BB-A56B-6F48FCF3F9CE}" name="8/9" totalsRowFunction="custom" dataDxfId="278" totalsRowDxfId="75">
      <totalsRowFormula>COUNTIF(Table1345678[8/9],"&lt;11")</totalsRowFormula>
    </tableColumn>
    <tableColumn id="7" xr3:uid="{68B42F26-A39E-4FF3-B8CA-852E76159080}" name="8/16" totalsRowFunction="custom" dataDxfId="277" totalsRowDxfId="74">
      <totalsRowFormula>COUNTIF(Table1345678[8/16],"&lt;11")</totalsRowFormula>
    </tableColumn>
    <tableColumn id="8" xr3:uid="{0089A789-9619-4BAF-BE7C-75FC0DF50AD0}" name="8/23" totalsRowFunction="custom" dataDxfId="276" totalsRowDxfId="73">
      <totalsRowFormula>COUNTIF(Table1345678[8/23],"&lt;11")</totalsRowFormula>
    </tableColumn>
    <tableColumn id="9" xr3:uid="{2A0717B2-B1FF-4568-B367-811B3F99BFF7}" name="Total" totalsRowFunction="custom" dataDxfId="275" totalsRowDxfId="72">
      <calculatedColumnFormula>SUM(C2:H2)</calculatedColumnFormula>
      <totalsRowFormula>SUM(Table1345678[[#Totals],[7/12]:[8/23]])</totalsRow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3031C0-FEF9-4DBC-B196-389144463724}" name="Table13456789" displayName="Table13456789" ref="A1:I34" totalsRowCount="1" headerRowDxfId="274" dataDxfId="273">
  <autoFilter ref="A1:I33" xr:uid="{55FB3381-9F2D-4F03-9EC3-ED5CC3D20466}"/>
  <sortState xmlns:xlrd2="http://schemas.microsoft.com/office/spreadsheetml/2017/richdata2" ref="A2:I33">
    <sortCondition descending="1" ref="I1:I33"/>
  </sortState>
  <tableColumns count="9">
    <tableColumn id="1" xr3:uid="{1E51F1EB-29B5-4775-84D2-4544E8EA59DC}" name="Driver Name" dataDxfId="272" totalsRowDxfId="98"/>
    <tableColumn id="2" xr3:uid="{87E1B244-4811-48B8-8516-345F1EB382E7}" name="Tractor No." totalsRowLabel="Hook Numbers:" dataDxfId="271" totalsRowDxfId="97"/>
    <tableColumn id="3" xr3:uid="{BB935278-5D76-4F44-B0F7-BACA6E526F4A}" name="7/12" totalsRowFunction="custom" dataDxfId="270" totalsRowDxfId="96">
      <totalsRowFormula>COUNTIF(Table13456789[7/12],"&lt;11")</totalsRowFormula>
    </tableColumn>
    <tableColumn id="4" xr3:uid="{EF1C7EE9-019B-435D-B861-036EFA198E1A}" name="7/19" totalsRowFunction="custom" dataDxfId="269" totalsRowDxfId="95">
      <totalsRowFormula>COUNTIF(Table13456789[7/19],"&lt;11")</totalsRowFormula>
    </tableColumn>
    <tableColumn id="5" xr3:uid="{61F17476-86D6-4BA1-9C16-154408891E60}" name="7/26" totalsRowFunction="custom" dataDxfId="268" totalsRowDxfId="94">
      <totalsRowFormula>COUNTIF(Table13456789[7/26],"&lt;11")</totalsRowFormula>
    </tableColumn>
    <tableColumn id="6" xr3:uid="{66F264D3-C5F0-4C5D-8303-62142144AF1B}" name="8/9" totalsRowFunction="custom" dataDxfId="267" totalsRowDxfId="93">
      <totalsRowFormula>COUNTIF(Table13456789[8/9],"&lt;11")</totalsRowFormula>
    </tableColumn>
    <tableColumn id="7" xr3:uid="{6B10DE9C-B7A7-432A-9BC4-ECA2B906CFDC}" name="8/16" totalsRowFunction="custom" dataDxfId="266" totalsRowDxfId="92">
      <totalsRowFormula>COUNTIF(Table13456789[8/16],"&lt;11")</totalsRowFormula>
    </tableColumn>
    <tableColumn id="8" xr3:uid="{E8B882F7-7A7D-4E10-A77F-BC4C4AEF3EFB}" name="8/23" totalsRowFunction="custom" dataDxfId="265" totalsRowDxfId="91">
      <totalsRowFormula>COUNTIF(Table13456789[8/23],"&lt;11")</totalsRowFormula>
    </tableColumn>
    <tableColumn id="9" xr3:uid="{11864204-294A-4329-A005-DC76CA3E9240}" name="Total" totalsRowFunction="custom" dataDxfId="264" totalsRowDxfId="90">
      <calculatedColumnFormula>SUM(C2:H2)</calculatedColumnFormula>
      <totalsRowFormula>SUM(Table13456789[[#Totals],[7/12]:[8/23]])</totalsRow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6855BCB-2955-4D34-A32F-F5B8BE3D297A}" name="Table1345678910" displayName="Table1345678910" ref="A1:I32" totalsRowCount="1" headerRowDxfId="263" dataDxfId="262">
  <autoFilter ref="A1:I31" xr:uid="{55FB3381-9F2D-4F03-9EC3-ED5CC3D20466}"/>
  <sortState xmlns:xlrd2="http://schemas.microsoft.com/office/spreadsheetml/2017/richdata2" ref="A2:I31">
    <sortCondition ref="A1:A31"/>
  </sortState>
  <tableColumns count="9">
    <tableColumn id="1" xr3:uid="{6C5C6347-333A-4C40-AE56-9F6F8DAF0CC6}" name="Driver Name" dataDxfId="261" totalsRowDxfId="35"/>
    <tableColumn id="2" xr3:uid="{E0AC10AA-CF0D-4CCF-941C-183880918931}" name="Tractor No." totalsRowLabel="Hook Numbers:" dataDxfId="260" totalsRowDxfId="34"/>
    <tableColumn id="3" xr3:uid="{BA5544AD-8F06-4ECF-B71D-96C5BE37325A}" name="7/12" totalsRowFunction="custom" dataDxfId="259" totalsRowDxfId="33">
      <totalsRowFormula>COUNTIF(Table1345678910[7/12],"&lt;11")</totalsRowFormula>
    </tableColumn>
    <tableColumn id="4" xr3:uid="{FE40BCD5-8FE5-42D7-992F-553F8975142F}" name="7/19" totalsRowFunction="custom" dataDxfId="258" totalsRowDxfId="32">
      <totalsRowFormula>COUNTIF(Table1345678910[7/19],"&lt;11")</totalsRowFormula>
    </tableColumn>
    <tableColumn id="5" xr3:uid="{B550F478-4843-47AA-B245-7933BA47856D}" name="7/26" totalsRowFunction="custom" dataDxfId="257" totalsRowDxfId="31">
      <totalsRowFormula>COUNTIF(Table1345678910[7/26],"&lt;11")</totalsRowFormula>
    </tableColumn>
    <tableColumn id="6" xr3:uid="{A22B0158-4A26-4F16-862E-40FCFC5B1653}" name="8/9" totalsRowFunction="custom" dataDxfId="256" totalsRowDxfId="30">
      <totalsRowFormula>COUNTIF(Table1345678910[8/9],"&lt;11")</totalsRowFormula>
    </tableColumn>
    <tableColumn id="7" xr3:uid="{7E72A70F-C3A7-4831-A4E6-24158EB5BB0F}" name="8/16" totalsRowFunction="custom" dataDxfId="255" totalsRowDxfId="29">
      <totalsRowFormula>COUNTIF(Table1345678910[8/16],"&lt;11")</totalsRowFormula>
    </tableColumn>
    <tableColumn id="8" xr3:uid="{C82EC0B1-FF93-4BE9-9BCA-44DF4DDDE939}" name="8/23" totalsRowFunction="custom" dataDxfId="254" totalsRowDxfId="28">
      <totalsRowFormula>COUNTIF(Table1345678910[8/23],"&lt;11")</totalsRowFormula>
    </tableColumn>
    <tableColumn id="9" xr3:uid="{CCB15636-C84A-47E5-8223-6A9ED0D68EF4}" name="Total" totalsRowFunction="custom" dataDxfId="253" totalsRowDxfId="27">
      <calculatedColumnFormula>SUM(C2:H2)</calculatedColumnFormula>
      <totalsRowFormula>SUM(Table1345678910[[#Totals],[7/12]:[8/23]])</totalsRow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F0C775-AE08-4B01-BC6A-3E3770E1433A}" name="Table13" displayName="Table13" ref="A1:I23" totalsRowCount="1" headerRowDxfId="340" dataDxfId="339">
  <autoFilter ref="A1:I22" xr:uid="{55FB3381-9F2D-4F03-9EC3-ED5CC3D20466}"/>
  <sortState xmlns:xlrd2="http://schemas.microsoft.com/office/spreadsheetml/2017/richdata2" ref="A2:I22">
    <sortCondition descending="1" ref="I1:I22"/>
  </sortState>
  <tableColumns count="9">
    <tableColumn id="1" xr3:uid="{B2D9A6B3-7F33-4BC4-82EF-576111FC4F47}" name="Driver Name" dataDxfId="338" totalsRowDxfId="62"/>
    <tableColumn id="2" xr3:uid="{041E0094-8E13-4CDA-A313-39EB551BD1CE}" name="Tractor No." totalsRowLabel="Hook Numbers:" dataDxfId="337" totalsRowDxfId="61"/>
    <tableColumn id="3" xr3:uid="{205FD2C7-6648-483B-B2DD-54BAAC2454CC}" name="7/12" totalsRowFunction="custom" dataDxfId="336" totalsRowDxfId="60">
      <totalsRowFormula>COUNTIF(Table13[7/12],"&lt;11")</totalsRowFormula>
    </tableColumn>
    <tableColumn id="4" xr3:uid="{5DA654A3-7DD3-4654-B68F-F9719150E0E4}" name="7/19" totalsRowFunction="custom" dataDxfId="335" totalsRowDxfId="59">
      <totalsRowFormula>COUNTIF(Table13[7/19],"&lt;11")</totalsRowFormula>
    </tableColumn>
    <tableColumn id="5" xr3:uid="{3F497EEA-063E-4E55-B781-0E53E8C8A235}" name="7/26" totalsRowFunction="custom" dataDxfId="334" totalsRowDxfId="58">
      <totalsRowFormula>COUNTIF(Table13[7/26],"&lt;11")</totalsRowFormula>
    </tableColumn>
    <tableColumn id="6" xr3:uid="{E90C1D9F-E765-44E8-8F01-F9FAE407AB51}" name="8/9" totalsRowFunction="custom" dataDxfId="333" totalsRowDxfId="57">
      <totalsRowFormula>COUNTIF(Table13[8/9],"&lt;11")</totalsRowFormula>
    </tableColumn>
    <tableColumn id="7" xr3:uid="{62942A89-D37A-4F62-B53B-BB3A07BC9B58}" name="8/16" totalsRowFunction="custom" dataDxfId="332" totalsRowDxfId="56">
      <totalsRowFormula>COUNTIF(Table13[8/16],"&lt;11")</totalsRowFormula>
    </tableColumn>
    <tableColumn id="8" xr3:uid="{BFD5D2DA-8462-41F3-9372-5D69CD5C23E0}" name="8/23" totalsRowFunction="custom" dataDxfId="331" totalsRowDxfId="55">
      <totalsRowFormula>COUNTIF(Table13[8/23],"&lt;11")</totalsRowFormula>
    </tableColumn>
    <tableColumn id="9" xr3:uid="{00CA2C6C-AB24-4819-A212-EAD53C137EDF}" name="Total" totalsRowFunction="custom" dataDxfId="330" totalsRowDxfId="54">
      <calculatedColumnFormula>SUM(C2:H2)</calculatedColumnFormula>
      <totalsRowFormula>SUM(Table13[[#Totals],[7/12]:[8/23]])</totalsRowFormula>
    </tableColumn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22E1CE-8EE7-45E1-8200-AAE16E3BCB22}" name="Table134" displayName="Table134" ref="A1:I22" totalsRowCount="1" headerRowDxfId="329" dataDxfId="328">
  <autoFilter ref="A1:I21" xr:uid="{55FB3381-9F2D-4F03-9EC3-ED5CC3D20466}"/>
  <sortState xmlns:xlrd2="http://schemas.microsoft.com/office/spreadsheetml/2017/richdata2" ref="A2:I21">
    <sortCondition descending="1" ref="I1:I21"/>
  </sortState>
  <tableColumns count="9">
    <tableColumn id="1" xr3:uid="{F020B9B4-029B-4475-B623-EABBE7FEFC29}" name="Driver Name" dataDxfId="327" totalsRowDxfId="71"/>
    <tableColumn id="2" xr3:uid="{00D268C4-AC66-4AB0-9581-3FA48A253F9D}" name="Tractor No." totalsRowLabel="Hook Numbers:" dataDxfId="326" totalsRowDxfId="70"/>
    <tableColumn id="3" xr3:uid="{849D45A9-4836-464E-90DE-93DEEEF34334}" name="7/12" totalsRowFunction="custom" dataDxfId="325" totalsRowDxfId="69">
      <totalsRowFormula>COUNTIF(Table134[7/12],"&lt;11")</totalsRowFormula>
    </tableColumn>
    <tableColumn id="4" xr3:uid="{3F7F30B8-C1DE-46C4-9BD0-E114A807DDBE}" name="7/19" totalsRowFunction="custom" dataDxfId="324" totalsRowDxfId="68">
      <totalsRowFormula>COUNTIF(Table134[7/19],"&lt;11")</totalsRowFormula>
    </tableColumn>
    <tableColumn id="5" xr3:uid="{58829AB3-25FC-43DE-BC87-0069D316C477}" name="7/26" totalsRowFunction="custom" dataDxfId="323" totalsRowDxfId="67">
      <totalsRowFormula>COUNTIF(Table134[7/26],"&lt;11")</totalsRowFormula>
    </tableColumn>
    <tableColumn id="6" xr3:uid="{FA54C201-7D43-40F2-BEED-4762F8DFC74B}" name="8/9" totalsRowFunction="custom" dataDxfId="322" totalsRowDxfId="66">
      <totalsRowFormula>COUNTIF(Table134[8/9],"&lt;11")</totalsRowFormula>
    </tableColumn>
    <tableColumn id="7" xr3:uid="{E24E52D4-8F9A-4705-879F-3016477DA5DC}" name="8/16" totalsRowFunction="custom" dataDxfId="321" totalsRowDxfId="65">
      <totalsRowFormula>COUNTIF(Table134[8/16],"&lt;11")</totalsRowFormula>
    </tableColumn>
    <tableColumn id="8" xr3:uid="{4C3635DE-67D9-45FF-B1F1-6195DA534E28}" name="8/23" totalsRowFunction="custom" dataDxfId="320" totalsRowDxfId="64">
      <totalsRowFormula>COUNTIF(Table134[8/23],"&lt;11")</totalsRowFormula>
    </tableColumn>
    <tableColumn id="9" xr3:uid="{593D3000-36D5-419D-890F-D6F8642D653C}" name="Total" totalsRowFunction="custom" dataDxfId="319" totalsRowDxfId="63">
      <calculatedColumnFormula>SUM(C2:H2)</calculatedColumnFormula>
      <totalsRowFormula>SUM(Table134[[#Totals],[7/12]:[8/23]])</totalsRow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EF0CF7-5AE0-498D-811C-FD8B94A16F62}" name="Table1345" displayName="Table1345" ref="A1:I21" totalsRowCount="1" headerRowDxfId="318" dataDxfId="317">
  <autoFilter ref="A1:I20" xr:uid="{55FB3381-9F2D-4F03-9EC3-ED5CC3D20466}"/>
  <sortState xmlns:xlrd2="http://schemas.microsoft.com/office/spreadsheetml/2017/richdata2" ref="A2:I20">
    <sortCondition descending="1" ref="I1:I20"/>
  </sortState>
  <tableColumns count="9">
    <tableColumn id="1" xr3:uid="{2EF97EA1-93D2-4F29-861A-27F982B698DC}" name="Driver Name" dataDxfId="316" totalsRowDxfId="89"/>
    <tableColumn id="2" xr3:uid="{8F086F9F-7251-4462-AD62-94351F9139E3}" name="Tractor No." totalsRowLabel="Hook Numbers:" dataDxfId="315" totalsRowDxfId="88"/>
    <tableColumn id="3" xr3:uid="{DEE3BCB1-046A-45DA-ABCF-2BE2B6EC16E7}" name="7/12" totalsRowFunction="custom" dataDxfId="314" totalsRowDxfId="87">
      <totalsRowFormula>COUNTIF(Table1345[7/12],"&lt;11")</totalsRowFormula>
    </tableColumn>
    <tableColumn id="4" xr3:uid="{99D00EEB-BDC7-4860-AB10-C6F715C6EAB7}" name="7/19" totalsRowFunction="custom" dataDxfId="313" totalsRowDxfId="86">
      <totalsRowFormula>COUNTIF(Table1345[7/19],"&lt;11")</totalsRowFormula>
    </tableColumn>
    <tableColumn id="5" xr3:uid="{7EC972ED-3316-4233-B3A1-5EF9731DD28B}" name="7/26" totalsRowFunction="custom" dataDxfId="312" totalsRowDxfId="85">
      <totalsRowFormula>COUNTIF(Table1345[7/26],"&lt;11")</totalsRowFormula>
    </tableColumn>
    <tableColumn id="6" xr3:uid="{E1F5F90A-37AF-4000-A22F-5B77D50A3D15}" name="8/9" totalsRowFunction="custom" dataDxfId="311" totalsRowDxfId="84">
      <totalsRowFormula>COUNTIF(Table1345[8/9],"&lt;11")</totalsRowFormula>
    </tableColumn>
    <tableColumn id="7" xr3:uid="{2BB3681C-AA91-4727-905F-3C98F66F38F5}" name="8/16" totalsRowFunction="custom" dataDxfId="310" totalsRowDxfId="83">
      <totalsRowFormula>COUNTIF(Table1345[8/16],"&lt;11")</totalsRowFormula>
    </tableColumn>
    <tableColumn id="8" xr3:uid="{1D8CF6F5-B9EA-4138-BA4A-74C10BE63DEE}" name="8/23" totalsRowFunction="custom" dataDxfId="309" totalsRowDxfId="82">
      <totalsRowFormula>COUNTIF(Table1345[8/23],"&lt;11")</totalsRowFormula>
    </tableColumn>
    <tableColumn id="9" xr3:uid="{35968C9E-0C0D-4EE4-B015-E9795CEF8174}" name="Total" totalsRowFunction="custom" dataDxfId="308" totalsRowDxfId="81">
      <calculatedColumnFormula>SUM(C2:H2)</calculatedColumnFormula>
      <totalsRowFormula>SUM(Table1345[[#Totals],[7/12]:[8/23]])</totalsRowFormula>
    </tableColumn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14AECB-2695-416D-BF2A-E35FD8065E43}" name="Table13456" displayName="Table13456" ref="A1:I24" totalsRowCount="1" headerRowDxfId="307" dataDxfId="306">
  <autoFilter ref="A1:I23" xr:uid="{55FB3381-9F2D-4F03-9EC3-ED5CC3D20466}"/>
  <sortState xmlns:xlrd2="http://schemas.microsoft.com/office/spreadsheetml/2017/richdata2" ref="A2:I23">
    <sortCondition ref="A1:A23"/>
  </sortState>
  <tableColumns count="9">
    <tableColumn id="1" xr3:uid="{86848CAE-A33C-43F0-8227-AFDE6AC0E7A4}" name="Driver Name" dataDxfId="305" totalsRowDxfId="44"/>
    <tableColumn id="2" xr3:uid="{1412CDE0-A5E8-4985-AA3E-E2288620A870}" name="Tractor No." totalsRowLabel="Hook Numbers:" dataDxfId="304" totalsRowDxfId="43"/>
    <tableColumn id="3" xr3:uid="{E85385D5-2A74-49B9-B0EF-AFCC0D421063}" name="7/12" totalsRowFunction="custom" dataDxfId="303" totalsRowDxfId="42">
      <totalsRowFormula>COUNTIF(Table13456[7/12],"&lt;11")</totalsRowFormula>
    </tableColumn>
    <tableColumn id="4" xr3:uid="{797D892B-EB86-479D-B93D-05457EA5C485}" name="7/19" totalsRowFunction="custom" dataDxfId="302" totalsRowDxfId="41">
      <totalsRowFormula>COUNTIF(Table13456[7/19],"&lt;11")</totalsRowFormula>
    </tableColumn>
    <tableColumn id="5" xr3:uid="{0F9675A6-617D-426B-88FC-A916802FDAC3}" name="7/26" totalsRowFunction="custom" dataDxfId="301" totalsRowDxfId="40">
      <totalsRowFormula>COUNTIF(Table13456[7/26],"&lt;11")</totalsRowFormula>
    </tableColumn>
    <tableColumn id="6" xr3:uid="{0C827447-4820-4B10-8C95-E3A82D576581}" name="8/9" totalsRowFunction="custom" dataDxfId="300" totalsRowDxfId="39">
      <totalsRowFormula>COUNTIF(Table13456[8/9],"&lt;11")</totalsRowFormula>
    </tableColumn>
    <tableColumn id="7" xr3:uid="{E5378DBD-1B58-4728-9664-2E245B31FEE2}" name="8/16" totalsRowFunction="custom" dataDxfId="299" totalsRowDxfId="38">
      <totalsRowFormula>COUNTIF(Table13456[8/16],"&lt;11")</totalsRowFormula>
    </tableColumn>
    <tableColumn id="8" xr3:uid="{66AB6AFD-3AE0-437D-B8AA-D03F325DC4DD}" name="8/23" totalsRowFunction="custom" dataDxfId="298" totalsRowDxfId="37">
      <totalsRowFormula>COUNTIF(Table13456[8/23],"&lt;11")</totalsRowFormula>
    </tableColumn>
    <tableColumn id="9" xr3:uid="{354B3D6B-C87E-4F5C-837B-A4A849FD41FA}" name="Total" totalsRowFunction="custom" dataDxfId="297" totalsRowDxfId="36">
      <calculatedColumnFormula>SUM(C2:H2)</calculatedColumnFormula>
      <totalsRowFormula>SUM(Table13456[[#Totals],[7/12]:[8/23]])</totalsRow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F4E364-A476-4D67-A549-10010769D280}" name="Table134567891011" displayName="Table134567891011" ref="A1:I38" totalsRowCount="1" headerRowDxfId="252" dataDxfId="251">
  <autoFilter ref="A1:I37" xr:uid="{55FB3381-9F2D-4F03-9EC3-ED5CC3D20466}"/>
  <sortState xmlns:xlrd2="http://schemas.microsoft.com/office/spreadsheetml/2017/richdata2" ref="A2:I37">
    <sortCondition descending="1" ref="I1:I37"/>
  </sortState>
  <tableColumns count="9">
    <tableColumn id="1" xr3:uid="{CA92FDB4-F178-4305-B39C-2DA7FFE95861}" name="Driver Name" dataDxfId="250" totalsRowDxfId="26"/>
    <tableColumn id="2" xr3:uid="{4FA4731C-4813-42FC-8A4F-63FE1EDD649D}" name="Tractor No." totalsRowLabel="Driver Numbers:" dataDxfId="249" totalsRowDxfId="25"/>
    <tableColumn id="3" xr3:uid="{6B7B583E-0417-4F74-ADDA-16A0BF6EC45E}" name="7/12" totalsRowFunction="custom" dataDxfId="248" totalsRowDxfId="24">
      <totalsRowFormula>COUNTIF(Table134567891011[7/12],"&lt;110")</totalsRowFormula>
    </tableColumn>
    <tableColumn id="4" xr3:uid="{DB930215-E02F-4979-B688-D8B17B3FF156}" name="7/19" totalsRowFunction="custom" dataDxfId="247" totalsRowDxfId="23">
      <totalsRowFormula>COUNTIF(Table134567891011[7/19],"&lt;11")</totalsRowFormula>
    </tableColumn>
    <tableColumn id="5" xr3:uid="{99D031D0-F953-40E6-AD32-D600BD3F2AA4}" name="7/26" totalsRowFunction="custom" dataDxfId="246" totalsRowDxfId="22">
      <totalsRowFormula>COUNTIF(Table134567891011[7/26],"&lt;11")</totalsRowFormula>
    </tableColumn>
    <tableColumn id="6" xr3:uid="{ECA8A585-886F-4B07-9A5E-C8C3CE51129C}" name="8/9" totalsRowFunction="custom" dataDxfId="245" totalsRowDxfId="21">
      <totalsRowFormula>COUNTIF(Table134567891011[8/9],"&lt;11")</totalsRowFormula>
    </tableColumn>
    <tableColumn id="7" xr3:uid="{AB2817D4-CF20-4E66-86C2-E9A83FE8B093}" name="8/16" totalsRowFunction="custom" dataDxfId="244" totalsRowDxfId="20">
      <totalsRowFormula>COUNTIF(Table134567891011[8/16],"&lt;11")</totalsRowFormula>
    </tableColumn>
    <tableColumn id="8" xr3:uid="{3FED62F7-44C7-45E1-BBEA-B9F7DBE31F6A}" name="8/23" totalsRowFunction="custom" dataDxfId="243" totalsRowDxfId="19">
      <totalsRowFormula>COUNTIF(Table134567891011[8/23],"&lt;11")</totalsRowFormula>
    </tableColumn>
    <tableColumn id="9" xr3:uid="{8B6C5A32-ABA0-4844-99E6-88F8D7F3B2FF}" name="Total" totalsRowFunction="custom" dataDxfId="242" totalsRowDxfId="18">
      <calculatedColumnFormula>SUM(C2:H2)</calculatedColumnFormula>
      <totalsRowFormula>SUM(Table134567891011[[#Totals],[7/12]:[8/23]])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6F8-4301-4774-9BC7-C96DB3CFE78B}">
  <dimension ref="A1:I34"/>
  <sheetViews>
    <sheetView tabSelected="1" workbookViewId="0">
      <selection activeCell="C27" sqref="C27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47</v>
      </c>
      <c r="B2" s="1" t="s">
        <v>54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3</v>
      </c>
      <c r="B3" s="1" t="s">
        <v>44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42</v>
      </c>
      <c r="B4" s="1" t="s">
        <v>63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23</v>
      </c>
      <c r="B5" s="1" t="s">
        <v>56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57</v>
      </c>
      <c r="B6" s="1" t="s">
        <v>58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47</v>
      </c>
      <c r="B7" s="1" t="s">
        <v>48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45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33</v>
      </c>
      <c r="B9" s="1" t="s">
        <v>53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37</v>
      </c>
      <c r="B10" s="1" t="s">
        <v>45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37</v>
      </c>
      <c r="B11" s="1" t="s">
        <v>53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96</v>
      </c>
      <c r="B12" s="1" t="s">
        <v>97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49</v>
      </c>
      <c r="B13" s="1" t="s">
        <v>50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27</v>
      </c>
      <c r="B14" s="1" t="s">
        <v>70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129</v>
      </c>
      <c r="B15" s="1" t="s">
        <v>131</v>
      </c>
      <c r="C15" s="3">
        <v>0</v>
      </c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7</v>
      </c>
      <c r="B16" s="1" t="s">
        <v>46</v>
      </c>
      <c r="C16" s="3">
        <v>0</v>
      </c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11</v>
      </c>
      <c r="B17" s="1" t="s">
        <v>64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89</v>
      </c>
      <c r="B18" s="1" t="s">
        <v>54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89</v>
      </c>
      <c r="B19" s="1" t="s">
        <v>48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5</v>
      </c>
      <c r="B20" s="1" t="s">
        <v>59</v>
      </c>
      <c r="C20" s="3">
        <v>0</v>
      </c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51</v>
      </c>
      <c r="B21" s="1" t="s">
        <v>52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133</v>
      </c>
      <c r="B22" s="1" t="s">
        <v>134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67</v>
      </c>
      <c r="B23" s="1" t="s">
        <v>68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67</v>
      </c>
      <c r="B24" s="1" t="s">
        <v>69</v>
      </c>
      <c r="C24" s="3">
        <v>0</v>
      </c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62</v>
      </c>
      <c r="B25" s="1" t="s">
        <v>65</v>
      </c>
      <c r="C25" s="3">
        <v>0</v>
      </c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60</v>
      </c>
      <c r="B26" s="1" t="s">
        <v>61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39</v>
      </c>
      <c r="B27" s="1" t="s">
        <v>66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20</v>
      </c>
      <c r="B28" s="1" t="s">
        <v>70</v>
      </c>
      <c r="C28" s="3">
        <v>0</v>
      </c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9</v>
      </c>
      <c r="B29" s="1" t="s">
        <v>55</v>
      </c>
      <c r="C29" s="3">
        <v>0</v>
      </c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71</v>
      </c>
      <c r="B30" s="1" t="s">
        <v>72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40</v>
      </c>
      <c r="B31" s="1" t="s">
        <v>41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94</v>
      </c>
      <c r="B32" s="1" t="s">
        <v>95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42</v>
      </c>
      <c r="B33" s="1" t="s">
        <v>43</v>
      </c>
      <c r="C33" s="3">
        <v>0</v>
      </c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B34" s="1" t="s">
        <v>38</v>
      </c>
      <c r="C34" s="1">
        <f>COUNTIF(Table134567[7/12],"&lt;11")</f>
        <v>17</v>
      </c>
      <c r="D34" s="1">
        <f>COUNTIF(Table134567[7/19],"&lt;11")</f>
        <v>0</v>
      </c>
      <c r="E34" s="1">
        <f>COUNTIF(Table134567[7/26],"&lt;11")</f>
        <v>0</v>
      </c>
      <c r="F34" s="1">
        <f>COUNTIF(Table134567[8/9],"&lt;11")</f>
        <v>0</v>
      </c>
      <c r="G34" s="1">
        <f>COUNTIF(Table134567[8/16],"&lt;11")</f>
        <v>0</v>
      </c>
      <c r="H34" s="1">
        <f>COUNTIF(Table134567[8/23],"&lt;11")</f>
        <v>0</v>
      </c>
      <c r="I34" s="1">
        <f>SUM(Table134567[[#Totals],[7/12]:[8/23]])</f>
        <v>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8B7-6CE3-49B5-B27A-03A5555C0767}">
  <dimension ref="A1:H48"/>
  <sheetViews>
    <sheetView workbookViewId="0">
      <selection activeCell="E8" sqref="E8"/>
    </sheetView>
  </sheetViews>
  <sheetFormatPr defaultColWidth="8.85546875" defaultRowHeight="23.25" x14ac:dyDescent="0.35"/>
  <cols>
    <col min="1" max="1" width="26.7109375" style="1" bestFit="1" customWidth="1"/>
    <col min="2" max="3" width="11.7109375" style="1" bestFit="1" customWidth="1"/>
    <col min="4" max="7" width="10.28515625" style="1" bestFit="1" customWidth="1"/>
    <col min="8" max="8" width="11.5703125" style="1" bestFit="1" customWidth="1"/>
    <col min="9" max="16384" width="8.85546875" style="1"/>
  </cols>
  <sheetData>
    <row r="1" spans="1:8" x14ac:dyDescent="0.35">
      <c r="A1" s="1" t="s">
        <v>1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8" x14ac:dyDescent="0.35">
      <c r="A2" s="1" t="s">
        <v>34</v>
      </c>
      <c r="B2" s="3">
        <v>18</v>
      </c>
      <c r="C2" s="3"/>
      <c r="D2" s="3"/>
      <c r="E2" s="3"/>
      <c r="F2" s="3"/>
      <c r="G2" s="3"/>
      <c r="H2" s="1">
        <f>SUM(B2:G2)</f>
        <v>18</v>
      </c>
    </row>
    <row r="3" spans="1:8" x14ac:dyDescent="0.35">
      <c r="A3" s="1" t="s">
        <v>24</v>
      </c>
      <c r="B3" s="3">
        <v>18</v>
      </c>
      <c r="C3" s="3"/>
      <c r="D3" s="3"/>
      <c r="E3" s="3"/>
      <c r="F3" s="3"/>
      <c r="G3" s="3"/>
      <c r="H3" s="1">
        <f>SUM(B3:G3)</f>
        <v>18</v>
      </c>
    </row>
    <row r="4" spans="1:8" x14ac:dyDescent="0.35">
      <c r="A4" s="1" t="s">
        <v>44</v>
      </c>
      <c r="B4" s="3">
        <v>16</v>
      </c>
      <c r="C4" s="3"/>
      <c r="D4" s="3"/>
      <c r="E4" s="3"/>
      <c r="F4" s="3"/>
      <c r="G4" s="3"/>
      <c r="H4" s="1">
        <f>SUM(B4:G4)</f>
        <v>16</v>
      </c>
    </row>
    <row r="5" spans="1:8" x14ac:dyDescent="0.35">
      <c r="A5" s="1" t="s">
        <v>43</v>
      </c>
      <c r="B5" s="3">
        <v>14</v>
      </c>
      <c r="C5" s="3"/>
      <c r="D5" s="3"/>
      <c r="E5" s="3"/>
      <c r="F5" s="3"/>
      <c r="G5" s="3"/>
      <c r="H5" s="1">
        <f>SUM(B5:G5)</f>
        <v>14</v>
      </c>
    </row>
    <row r="6" spans="1:8" x14ac:dyDescent="0.35">
      <c r="A6" s="1" t="s">
        <v>36</v>
      </c>
      <c r="B6" s="3">
        <v>12</v>
      </c>
      <c r="C6" s="3"/>
      <c r="D6" s="3"/>
      <c r="E6" s="3"/>
      <c r="F6" s="3"/>
      <c r="G6" s="3"/>
      <c r="H6" s="1">
        <f>SUM(B6:G6)</f>
        <v>12</v>
      </c>
    </row>
    <row r="7" spans="1:8" x14ac:dyDescent="0.35">
      <c r="A7" s="1" t="s">
        <v>54</v>
      </c>
      <c r="B7" s="3">
        <v>12</v>
      </c>
      <c r="C7" s="3"/>
      <c r="D7" s="3"/>
      <c r="E7" s="3"/>
      <c r="F7" s="3"/>
      <c r="G7" s="3"/>
      <c r="H7" s="1">
        <f>SUM(B7:G7)</f>
        <v>12</v>
      </c>
    </row>
    <row r="8" spans="1:8" x14ac:dyDescent="0.35">
      <c r="A8" s="1" t="s">
        <v>58</v>
      </c>
      <c r="B8" s="3">
        <v>12</v>
      </c>
      <c r="C8" s="3"/>
      <c r="D8" s="3"/>
      <c r="E8" s="3"/>
      <c r="F8" s="3"/>
      <c r="G8" s="3"/>
      <c r="H8" s="1">
        <f>SUM(B8:G8)</f>
        <v>12</v>
      </c>
    </row>
    <row r="9" spans="1:8" x14ac:dyDescent="0.35">
      <c r="A9" s="1" t="s">
        <v>32</v>
      </c>
      <c r="B9" s="3">
        <v>12</v>
      </c>
      <c r="C9" s="3"/>
      <c r="D9" s="3"/>
      <c r="E9" s="3"/>
      <c r="F9" s="3"/>
      <c r="G9" s="3"/>
      <c r="H9" s="1">
        <f>SUM(B9:G9)</f>
        <v>12</v>
      </c>
    </row>
    <row r="10" spans="1:8" x14ac:dyDescent="0.35">
      <c r="A10" s="1" t="s">
        <v>70</v>
      </c>
      <c r="B10" s="3">
        <v>10</v>
      </c>
      <c r="C10" s="3"/>
      <c r="D10" s="3"/>
      <c r="E10" s="3"/>
      <c r="F10" s="3"/>
      <c r="G10" s="3"/>
      <c r="H10" s="1">
        <f>SUM(B10:G10)</f>
        <v>10</v>
      </c>
    </row>
    <row r="11" spans="1:8" x14ac:dyDescent="0.35">
      <c r="A11" s="1" t="s">
        <v>59</v>
      </c>
      <c r="B11" s="3">
        <v>10</v>
      </c>
      <c r="C11" s="3"/>
      <c r="D11" s="3"/>
      <c r="E11" s="3"/>
      <c r="F11" s="3"/>
      <c r="G11" s="3"/>
      <c r="H11" s="1">
        <f>SUM(B11:G11)</f>
        <v>10</v>
      </c>
    </row>
    <row r="12" spans="1:8" x14ac:dyDescent="0.35">
      <c r="A12" s="1" t="s">
        <v>26</v>
      </c>
      <c r="B12" s="3">
        <v>8</v>
      </c>
      <c r="C12" s="3"/>
      <c r="D12" s="3"/>
      <c r="E12" s="3"/>
      <c r="F12" s="3"/>
      <c r="G12" s="3"/>
      <c r="H12" s="1">
        <f>SUM(B12:G12)</f>
        <v>8</v>
      </c>
    </row>
    <row r="13" spans="1:8" x14ac:dyDescent="0.35">
      <c r="A13" s="1" t="s">
        <v>10</v>
      </c>
      <c r="B13" s="3">
        <v>6</v>
      </c>
      <c r="C13" s="3"/>
      <c r="D13" s="3"/>
      <c r="E13" s="3"/>
      <c r="F13" s="3"/>
      <c r="G13" s="3"/>
      <c r="H13" s="1">
        <f>SUM(B13:G13)</f>
        <v>6</v>
      </c>
    </row>
    <row r="14" spans="1:8" x14ac:dyDescent="0.35">
      <c r="A14" s="1" t="s">
        <v>63</v>
      </c>
      <c r="B14" s="3">
        <v>6</v>
      </c>
      <c r="C14" s="3"/>
      <c r="D14" s="3"/>
      <c r="E14" s="3"/>
      <c r="F14" s="3"/>
      <c r="G14" s="3"/>
      <c r="H14" s="1">
        <f>SUM(B14:G14)</f>
        <v>6</v>
      </c>
    </row>
    <row r="15" spans="1:8" x14ac:dyDescent="0.35">
      <c r="A15" s="1" t="s">
        <v>53</v>
      </c>
      <c r="B15" s="3">
        <v>6</v>
      </c>
      <c r="C15" s="3"/>
      <c r="D15" s="3"/>
      <c r="E15" s="3"/>
      <c r="F15" s="3"/>
      <c r="G15" s="3"/>
      <c r="H15" s="1">
        <f>SUM(B15:G15)</f>
        <v>6</v>
      </c>
    </row>
    <row r="16" spans="1:8" x14ac:dyDescent="0.35">
      <c r="A16" s="1" t="s">
        <v>4</v>
      </c>
      <c r="B16" s="3">
        <v>5</v>
      </c>
      <c r="C16" s="3"/>
      <c r="D16" s="3"/>
      <c r="E16" s="3"/>
      <c r="F16" s="3"/>
      <c r="G16" s="3"/>
      <c r="H16" s="1">
        <f>SUM(B16:G16)</f>
        <v>5</v>
      </c>
    </row>
    <row r="17" spans="1:8" x14ac:dyDescent="0.35">
      <c r="A17" s="1" t="s">
        <v>132</v>
      </c>
      <c r="B17" s="3">
        <v>4</v>
      </c>
      <c r="C17" s="3"/>
      <c r="D17" s="3"/>
      <c r="E17" s="3"/>
      <c r="F17" s="3"/>
      <c r="G17" s="3"/>
      <c r="H17" s="1">
        <f>SUM(B17:G17)</f>
        <v>4</v>
      </c>
    </row>
    <row r="18" spans="1:8" x14ac:dyDescent="0.35">
      <c r="A18" s="1" t="s">
        <v>22</v>
      </c>
      <c r="B18" s="3">
        <v>4</v>
      </c>
      <c r="C18" s="3"/>
      <c r="D18" s="3"/>
      <c r="E18" s="3"/>
      <c r="F18" s="3"/>
      <c r="G18" s="3"/>
      <c r="H18" s="1">
        <f>SUM(B18:G18)</f>
        <v>4</v>
      </c>
    </row>
    <row r="19" spans="1:8" x14ac:dyDescent="0.35">
      <c r="A19" s="1" t="s">
        <v>28</v>
      </c>
      <c r="B19" s="3">
        <v>4</v>
      </c>
      <c r="C19" s="3"/>
      <c r="D19" s="3"/>
      <c r="E19" s="3"/>
      <c r="F19" s="3"/>
      <c r="G19" s="3"/>
      <c r="H19" s="1">
        <f>SUM(B19:G19)</f>
        <v>4</v>
      </c>
    </row>
    <row r="20" spans="1:8" x14ac:dyDescent="0.35">
      <c r="A20" s="1" t="s">
        <v>56</v>
      </c>
      <c r="B20" s="3">
        <v>4</v>
      </c>
      <c r="C20" s="3"/>
      <c r="D20" s="3"/>
      <c r="E20" s="3"/>
      <c r="F20" s="3"/>
      <c r="G20" s="3"/>
      <c r="H20" s="1">
        <f>SUM(B20:G20)</f>
        <v>4</v>
      </c>
    </row>
    <row r="21" spans="1:8" x14ac:dyDescent="0.35">
      <c r="A21" s="1" t="s">
        <v>8</v>
      </c>
      <c r="B21" s="3">
        <v>1</v>
      </c>
      <c r="C21" s="3"/>
      <c r="D21" s="3"/>
      <c r="E21" s="3"/>
      <c r="F21" s="3"/>
      <c r="G21" s="3"/>
      <c r="H21" s="1">
        <f>SUM(B21:G21)</f>
        <v>1</v>
      </c>
    </row>
    <row r="22" spans="1:8" x14ac:dyDescent="0.35">
      <c r="A22" s="1" t="s">
        <v>6</v>
      </c>
      <c r="B22" s="3">
        <v>1</v>
      </c>
      <c r="C22" s="3"/>
      <c r="D22" s="3"/>
      <c r="E22" s="3"/>
      <c r="F22" s="3"/>
      <c r="G22" s="3"/>
      <c r="H22" s="1">
        <f>SUM(B22:G22)</f>
        <v>1</v>
      </c>
    </row>
    <row r="23" spans="1:8" x14ac:dyDescent="0.35">
      <c r="A23" s="1" t="s">
        <v>48</v>
      </c>
      <c r="B23" s="3">
        <v>1</v>
      </c>
      <c r="C23" s="3"/>
      <c r="D23" s="3"/>
      <c r="E23" s="3"/>
      <c r="F23" s="3"/>
      <c r="G23" s="3"/>
      <c r="H23" s="1">
        <f>SUM(B23:G23)</f>
        <v>1</v>
      </c>
    </row>
    <row r="24" spans="1:8" x14ac:dyDescent="0.35">
      <c r="A24" s="1" t="s">
        <v>45</v>
      </c>
      <c r="B24" s="3">
        <v>1</v>
      </c>
      <c r="C24" s="3"/>
      <c r="D24" s="3"/>
      <c r="E24" s="3"/>
      <c r="F24" s="3"/>
      <c r="G24" s="3"/>
      <c r="H24" s="1">
        <f>SUM(B24:G24)</f>
        <v>1</v>
      </c>
    </row>
    <row r="25" spans="1:8" x14ac:dyDescent="0.35">
      <c r="A25" s="1" t="s">
        <v>69</v>
      </c>
      <c r="B25" s="3">
        <v>1</v>
      </c>
      <c r="C25" s="3"/>
      <c r="D25" s="3"/>
      <c r="E25" s="3"/>
      <c r="F25" s="3"/>
      <c r="G25" s="3"/>
      <c r="H25" s="1">
        <f>SUM(B25:G25)</f>
        <v>1</v>
      </c>
    </row>
    <row r="26" spans="1:8" x14ac:dyDescent="0.35">
      <c r="A26" s="1" t="s">
        <v>100</v>
      </c>
      <c r="B26" s="3"/>
      <c r="C26" s="3"/>
      <c r="D26" s="3"/>
      <c r="E26" s="3"/>
      <c r="F26" s="3"/>
      <c r="G26" s="3"/>
      <c r="H26" s="1">
        <f>SUM(B26:G26)</f>
        <v>0</v>
      </c>
    </row>
    <row r="27" spans="1:8" x14ac:dyDescent="0.35">
      <c r="A27" s="1" t="s">
        <v>12</v>
      </c>
      <c r="B27" s="3"/>
      <c r="C27" s="3"/>
      <c r="D27" s="3"/>
      <c r="E27" s="3"/>
      <c r="F27" s="3"/>
      <c r="G27" s="3"/>
      <c r="H27" s="1">
        <f>SUM(B27:G27)</f>
        <v>0</v>
      </c>
    </row>
    <row r="28" spans="1:8" x14ac:dyDescent="0.35">
      <c r="A28" s="1" t="s">
        <v>13</v>
      </c>
      <c r="B28" s="3"/>
      <c r="C28" s="3"/>
      <c r="D28" s="3"/>
      <c r="E28" s="3"/>
      <c r="F28" s="3"/>
      <c r="G28" s="3"/>
      <c r="H28" s="1">
        <f>SUM(B28:G28)</f>
        <v>0</v>
      </c>
    </row>
    <row r="29" spans="1:8" x14ac:dyDescent="0.35">
      <c r="A29" s="1" t="s">
        <v>91</v>
      </c>
      <c r="B29" s="3"/>
      <c r="C29" s="3"/>
      <c r="D29" s="3"/>
      <c r="E29" s="3"/>
      <c r="F29" s="3"/>
      <c r="G29" s="3"/>
      <c r="H29" s="1">
        <f>SUM(B29:G29)</f>
        <v>0</v>
      </c>
    </row>
    <row r="30" spans="1:8" x14ac:dyDescent="0.35">
      <c r="A30" s="1" t="s">
        <v>21</v>
      </c>
      <c r="B30" s="3"/>
      <c r="C30" s="3"/>
      <c r="D30" s="3"/>
      <c r="E30" s="3"/>
      <c r="F30" s="3"/>
      <c r="G30" s="3"/>
      <c r="H30" s="1">
        <f>SUM(B30:G30)</f>
        <v>0</v>
      </c>
    </row>
    <row r="31" spans="1:8" x14ac:dyDescent="0.35">
      <c r="A31" s="1" t="s">
        <v>88</v>
      </c>
      <c r="B31" s="3"/>
      <c r="C31" s="3"/>
      <c r="D31" s="3"/>
      <c r="E31" s="3"/>
      <c r="F31" s="3"/>
      <c r="G31" s="3"/>
      <c r="H31" s="1">
        <f>SUM(B31:G31)</f>
        <v>0</v>
      </c>
    </row>
    <row r="32" spans="1:8" x14ac:dyDescent="0.35">
      <c r="A32" s="1" t="s">
        <v>55</v>
      </c>
      <c r="B32" s="3"/>
      <c r="C32" s="3"/>
      <c r="D32" s="3"/>
      <c r="E32" s="3"/>
      <c r="F32" s="3"/>
      <c r="G32" s="3"/>
      <c r="H32" s="1">
        <f>SUM(B32:G32)</f>
        <v>0</v>
      </c>
    </row>
    <row r="33" spans="1:8" x14ac:dyDescent="0.35">
      <c r="A33" s="1" t="s">
        <v>122</v>
      </c>
      <c r="B33" s="3">
        <v>0</v>
      </c>
      <c r="C33" s="3"/>
      <c r="D33" s="3"/>
      <c r="E33" s="3"/>
      <c r="F33" s="3"/>
      <c r="G33" s="3"/>
      <c r="H33" s="1">
        <f>SUM(B33:G33)</f>
        <v>0</v>
      </c>
    </row>
    <row r="34" spans="1:8" x14ac:dyDescent="0.35">
      <c r="A34" s="1" t="s">
        <v>97</v>
      </c>
      <c r="B34" s="3"/>
      <c r="C34" s="3"/>
      <c r="D34" s="3"/>
      <c r="E34" s="3"/>
      <c r="F34" s="3"/>
      <c r="G34" s="3"/>
      <c r="H34" s="1">
        <f>SUM(B34:G34)</f>
        <v>0</v>
      </c>
    </row>
    <row r="35" spans="1:8" x14ac:dyDescent="0.35">
      <c r="A35" s="1" t="s">
        <v>50</v>
      </c>
      <c r="B35" s="3"/>
      <c r="C35" s="3"/>
      <c r="D35" s="3"/>
      <c r="E35" s="3"/>
      <c r="F35" s="3"/>
      <c r="G35" s="3"/>
      <c r="H35" s="1">
        <f>SUM(B35:G35)</f>
        <v>0</v>
      </c>
    </row>
    <row r="36" spans="1:8" x14ac:dyDescent="0.35">
      <c r="A36" s="1" t="s">
        <v>93</v>
      </c>
      <c r="B36" s="3"/>
      <c r="C36" s="3"/>
      <c r="D36" s="3"/>
      <c r="E36" s="3"/>
      <c r="F36" s="3"/>
      <c r="G36" s="3"/>
      <c r="H36" s="1">
        <f>SUM(B36:G36)</f>
        <v>0</v>
      </c>
    </row>
    <row r="37" spans="1:8" x14ac:dyDescent="0.35">
      <c r="A37" s="1" t="s">
        <v>130</v>
      </c>
      <c r="B37" s="3">
        <v>0</v>
      </c>
      <c r="C37" s="3"/>
      <c r="D37" s="3"/>
      <c r="E37" s="3"/>
      <c r="F37" s="3"/>
      <c r="G37" s="3"/>
      <c r="H37" s="1">
        <f>SUM(B37:G37)</f>
        <v>0</v>
      </c>
    </row>
    <row r="38" spans="1:8" x14ac:dyDescent="0.35">
      <c r="A38" s="1" t="s">
        <v>131</v>
      </c>
      <c r="B38" s="3">
        <v>0</v>
      </c>
      <c r="C38" s="3"/>
      <c r="D38" s="3"/>
      <c r="E38" s="3"/>
      <c r="F38" s="3"/>
      <c r="G38" s="3"/>
      <c r="H38" s="1">
        <f>SUM(B38:G38)</f>
        <v>0</v>
      </c>
    </row>
    <row r="39" spans="1:8" x14ac:dyDescent="0.35">
      <c r="A39" s="1" t="s">
        <v>46</v>
      </c>
      <c r="B39" s="3">
        <v>0</v>
      </c>
      <c r="C39" s="3"/>
      <c r="D39" s="3"/>
      <c r="E39" s="3"/>
      <c r="F39" s="3"/>
      <c r="G39" s="3"/>
      <c r="H39" s="1">
        <f>SUM(B39:G39)</f>
        <v>0</v>
      </c>
    </row>
    <row r="40" spans="1:8" x14ac:dyDescent="0.35">
      <c r="A40" s="1" t="s">
        <v>64</v>
      </c>
      <c r="B40" s="3"/>
      <c r="C40" s="3"/>
      <c r="D40" s="3"/>
      <c r="E40" s="3"/>
      <c r="F40" s="3"/>
      <c r="G40" s="3"/>
      <c r="H40" s="1">
        <f>SUM(B40:G40)</f>
        <v>0</v>
      </c>
    </row>
    <row r="41" spans="1:8" x14ac:dyDescent="0.35">
      <c r="A41" s="1" t="s">
        <v>52</v>
      </c>
      <c r="B41" s="3">
        <v>0</v>
      </c>
      <c r="C41" s="3"/>
      <c r="D41" s="3"/>
      <c r="E41" s="3"/>
      <c r="F41" s="3"/>
      <c r="G41" s="3"/>
      <c r="H41" s="1">
        <f>SUM(B41:G41)</f>
        <v>0</v>
      </c>
    </row>
    <row r="42" spans="1:8" x14ac:dyDescent="0.35">
      <c r="A42" s="1" t="s">
        <v>134</v>
      </c>
      <c r="B42" s="3">
        <v>0</v>
      </c>
      <c r="C42" s="3"/>
      <c r="D42" s="3"/>
      <c r="E42" s="3"/>
      <c r="F42" s="3"/>
      <c r="G42" s="3"/>
      <c r="H42" s="1">
        <f>SUM(B42:G42)</f>
        <v>0</v>
      </c>
    </row>
    <row r="43" spans="1:8" x14ac:dyDescent="0.35">
      <c r="A43" s="1" t="s">
        <v>68</v>
      </c>
      <c r="B43" s="3">
        <v>0</v>
      </c>
      <c r="C43" s="3"/>
      <c r="D43" s="3"/>
      <c r="E43" s="3"/>
      <c r="F43" s="3"/>
      <c r="G43" s="3"/>
      <c r="H43" s="1">
        <f>SUM(B43:G43)</f>
        <v>0</v>
      </c>
    </row>
    <row r="44" spans="1:8" x14ac:dyDescent="0.35">
      <c r="A44" s="1" t="s">
        <v>65</v>
      </c>
      <c r="B44" s="3">
        <v>0</v>
      </c>
      <c r="C44" s="3"/>
      <c r="D44" s="3"/>
      <c r="E44" s="3"/>
      <c r="F44" s="3"/>
      <c r="G44" s="3"/>
      <c r="H44" s="1">
        <f>SUM(B44:G44)</f>
        <v>0</v>
      </c>
    </row>
    <row r="45" spans="1:8" x14ac:dyDescent="0.35">
      <c r="A45" s="1" t="s">
        <v>61</v>
      </c>
      <c r="B45" s="3"/>
      <c r="C45" s="3"/>
      <c r="D45" s="3"/>
      <c r="E45" s="3"/>
      <c r="F45" s="3"/>
      <c r="G45" s="3"/>
      <c r="H45" s="1">
        <f>SUM(B45:G45)</f>
        <v>0</v>
      </c>
    </row>
    <row r="46" spans="1:8" x14ac:dyDescent="0.35">
      <c r="A46" s="1" t="s">
        <v>66</v>
      </c>
      <c r="B46" s="3"/>
      <c r="C46" s="3"/>
      <c r="D46" s="3"/>
      <c r="E46" s="3"/>
      <c r="F46" s="3"/>
      <c r="G46" s="3"/>
      <c r="H46" s="1">
        <f>SUM(B46:G46)</f>
        <v>0</v>
      </c>
    </row>
    <row r="47" spans="1:8" x14ac:dyDescent="0.35">
      <c r="A47" s="1" t="s">
        <v>72</v>
      </c>
      <c r="B47" s="3"/>
      <c r="C47" s="3"/>
      <c r="D47" s="3"/>
      <c r="E47" s="3"/>
      <c r="F47" s="3"/>
      <c r="G47" s="3"/>
      <c r="H47" s="1">
        <f>SUM(B47:G47)</f>
        <v>0</v>
      </c>
    </row>
    <row r="48" spans="1:8" x14ac:dyDescent="0.35">
      <c r="A48" s="1" t="s">
        <v>30</v>
      </c>
    </row>
  </sheetData>
  <dataConsolidate leftLabels="1">
    <dataRefs count="8">
      <dataRef ref="B2:H19" sheet="10,000"/>
      <dataRef ref="B2:H27" sheet="5,500"/>
      <dataRef ref="B2:H27" sheet="6,000"/>
      <dataRef ref="B2:H27" sheet="6,500"/>
      <dataRef ref="B2:H27" sheet="7,000"/>
      <dataRef ref="B2:H19" sheet="8,500"/>
      <dataRef ref="B2:H19" sheet="9,000"/>
      <dataRef ref="B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EBAA-10C4-4700-89C6-B71BECCE7EF7}">
  <dimension ref="A1:I28"/>
  <sheetViews>
    <sheetView workbookViewId="0">
      <selection activeCell="F12" sqref="F1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C2" s="3">
        <v>20</v>
      </c>
      <c r="D2" s="3"/>
      <c r="E2" s="3"/>
      <c r="F2" s="3"/>
      <c r="G2" s="3"/>
      <c r="H2" s="3"/>
      <c r="I2" s="1">
        <f>SUM(C2:H2)</f>
        <v>20</v>
      </c>
    </row>
    <row r="3" spans="1:9" x14ac:dyDescent="0.35">
      <c r="A3" s="1" t="s">
        <v>23</v>
      </c>
      <c r="C3" s="3">
        <v>18</v>
      </c>
      <c r="D3" s="3"/>
      <c r="E3" s="3"/>
      <c r="F3" s="3"/>
      <c r="G3" s="3"/>
      <c r="H3" s="3"/>
      <c r="I3" s="1">
        <f>SUM(C3:H3)</f>
        <v>18</v>
      </c>
    </row>
    <row r="4" spans="1:9" x14ac:dyDescent="0.35">
      <c r="A4" s="1" t="s">
        <v>31</v>
      </c>
      <c r="C4" s="3">
        <v>12</v>
      </c>
      <c r="D4" s="3"/>
      <c r="E4" s="3"/>
      <c r="F4" s="3"/>
      <c r="G4" s="3"/>
      <c r="H4" s="3"/>
      <c r="I4" s="1">
        <f>SUM(C4:H4)</f>
        <v>12</v>
      </c>
    </row>
    <row r="5" spans="1:9" x14ac:dyDescent="0.35">
      <c r="A5" s="1" t="s">
        <v>37</v>
      </c>
      <c r="C5" s="3">
        <v>10</v>
      </c>
      <c r="D5" s="3"/>
      <c r="E5" s="3"/>
      <c r="F5" s="3"/>
      <c r="G5" s="3"/>
      <c r="H5" s="3"/>
      <c r="I5" s="1">
        <f>SUM(C5:H5)</f>
        <v>10</v>
      </c>
    </row>
    <row r="6" spans="1:9" x14ac:dyDescent="0.35">
      <c r="A6" s="1" t="s">
        <v>25</v>
      </c>
      <c r="C6" s="3">
        <v>8</v>
      </c>
      <c r="D6" s="3"/>
      <c r="E6" s="3"/>
      <c r="F6" s="3"/>
      <c r="G6" s="3"/>
      <c r="H6" s="3"/>
      <c r="I6" s="1">
        <f>SUM(C6:H6)</f>
        <v>8</v>
      </c>
    </row>
    <row r="7" spans="1:9" x14ac:dyDescent="0.35">
      <c r="A7" s="1" t="s">
        <v>9</v>
      </c>
      <c r="C7" s="3">
        <v>6</v>
      </c>
      <c r="D7" s="3"/>
      <c r="E7" s="3"/>
      <c r="F7" s="3"/>
      <c r="G7" s="3"/>
      <c r="H7" s="3"/>
      <c r="I7" s="1">
        <f>SUM(C7:H7)</f>
        <v>6</v>
      </c>
    </row>
    <row r="8" spans="1:9" x14ac:dyDescent="0.35">
      <c r="A8" s="1" t="s">
        <v>3</v>
      </c>
      <c r="C8" s="3">
        <v>5</v>
      </c>
      <c r="D8" s="3"/>
      <c r="E8" s="3"/>
      <c r="F8" s="3"/>
      <c r="G8" s="3"/>
      <c r="H8" s="3"/>
      <c r="I8" s="1">
        <f>SUM(C8:H8)</f>
        <v>5</v>
      </c>
    </row>
    <row r="9" spans="1:9" x14ac:dyDescent="0.35">
      <c r="A9" s="1" t="s">
        <v>92</v>
      </c>
      <c r="C9" s="3">
        <v>4</v>
      </c>
      <c r="D9" s="3"/>
      <c r="E9" s="3"/>
      <c r="F9" s="3"/>
      <c r="G9" s="3"/>
      <c r="H9" s="3"/>
      <c r="I9" s="1">
        <f>SUM(C9:H9)</f>
        <v>4</v>
      </c>
    </row>
    <row r="10" spans="1:9" x14ac:dyDescent="0.35">
      <c r="A10" s="1" t="s">
        <v>35</v>
      </c>
      <c r="C10" s="3">
        <v>4</v>
      </c>
      <c r="D10" s="3"/>
      <c r="E10" s="3"/>
      <c r="F10" s="3"/>
      <c r="G10" s="3"/>
      <c r="H10" s="3"/>
      <c r="I10" s="1">
        <f>SUM(C10:H10)</f>
        <v>4</v>
      </c>
    </row>
    <row r="11" spans="1:9" x14ac:dyDescent="0.35">
      <c r="A11" s="1" t="s">
        <v>27</v>
      </c>
      <c r="C11" s="3">
        <v>4</v>
      </c>
      <c r="D11" s="3"/>
      <c r="E11" s="3"/>
      <c r="F11" s="3"/>
      <c r="G11" s="3"/>
      <c r="H11" s="3"/>
      <c r="I11" s="1">
        <f>SUM(C11:H11)</f>
        <v>4</v>
      </c>
    </row>
    <row r="12" spans="1:9" x14ac:dyDescent="0.35">
      <c r="A12" s="1" t="s">
        <v>7</v>
      </c>
      <c r="C12" s="3">
        <v>1</v>
      </c>
      <c r="D12" s="3"/>
      <c r="E12" s="3"/>
      <c r="F12" s="3"/>
      <c r="G12" s="3"/>
      <c r="H12" s="3"/>
      <c r="I12" s="1">
        <f>SUM(C12:H12)</f>
        <v>1</v>
      </c>
    </row>
    <row r="13" spans="1:9" x14ac:dyDescent="0.35">
      <c r="A13" s="1" t="s">
        <v>5</v>
      </c>
      <c r="C13" s="3">
        <v>1</v>
      </c>
      <c r="D13" s="3"/>
      <c r="E13" s="3"/>
      <c r="F13" s="3"/>
      <c r="G13" s="3"/>
      <c r="H13" s="3"/>
      <c r="I13" s="1">
        <f>SUM(C13:H13)</f>
        <v>1</v>
      </c>
    </row>
    <row r="14" spans="1:9" x14ac:dyDescent="0.35">
      <c r="A14" s="1" t="s">
        <v>96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11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90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20</v>
      </c>
      <c r="C17" s="3">
        <v>0</v>
      </c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87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29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B28" s="1" t="s">
        <v>73</v>
      </c>
      <c r="C28" s="1">
        <f>COUNTIF(Table13456789101114[7/12],"&lt;110")</f>
        <v>13</v>
      </c>
      <c r="D28" s="1">
        <f>COUNTIF(Table13456789101114[7/19],"&lt;11")</f>
        <v>0</v>
      </c>
      <c r="E28" s="1">
        <f>COUNTIF(Table13456789101114[7/26],"&lt;11")</f>
        <v>0</v>
      </c>
      <c r="F28" s="1">
        <f>COUNTIF(Table13456789101114[8/9],"&lt;11")</f>
        <v>0</v>
      </c>
      <c r="G28" s="1">
        <f>COUNTIF(Table13456789101114[8/16],"&lt;11")</f>
        <v>0</v>
      </c>
      <c r="H28" s="1">
        <f>COUNTIF(Table13456789101114[8/23],"&lt;11")</f>
        <v>0</v>
      </c>
      <c r="I28" s="1">
        <f>SUM(Table13456789101114[[#Totals],[7/12]:[8/23]])</f>
        <v>13</v>
      </c>
    </row>
  </sheetData>
  <dataConsolidate leftLabels="1">
    <dataRefs count="4">
      <dataRef ref="A2:H19" sheet="10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92D0-73BB-4FEB-BB40-25EFDECE2537}">
  <dimension ref="A1:I29"/>
  <sheetViews>
    <sheetView workbookViewId="0">
      <selection activeCell="E6" sqref="E6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C2" s="3">
        <v>20</v>
      </c>
      <c r="D2" s="3"/>
      <c r="E2" s="3"/>
      <c r="F2" s="3"/>
      <c r="G2" s="3"/>
      <c r="H2" s="3"/>
      <c r="I2" s="1">
        <f>SUM(C2:H2)</f>
        <v>20</v>
      </c>
    </row>
    <row r="3" spans="1:9" x14ac:dyDescent="0.35">
      <c r="A3" s="1" t="s">
        <v>3</v>
      </c>
      <c r="C3" s="3">
        <v>16</v>
      </c>
      <c r="D3" s="3"/>
      <c r="E3" s="3"/>
      <c r="F3" s="3"/>
      <c r="G3" s="3"/>
      <c r="H3" s="3"/>
      <c r="I3" s="1">
        <f>SUM(C3:H3)</f>
        <v>16</v>
      </c>
    </row>
    <row r="4" spans="1:9" x14ac:dyDescent="0.35">
      <c r="A4" s="1" t="s">
        <v>47</v>
      </c>
      <c r="C4" s="3">
        <v>13</v>
      </c>
      <c r="D4" s="3"/>
      <c r="E4" s="3"/>
      <c r="F4" s="3"/>
      <c r="G4" s="3"/>
      <c r="H4" s="3"/>
      <c r="I4" s="1">
        <f>SUM(C4:H4)</f>
        <v>13</v>
      </c>
    </row>
    <row r="5" spans="1:9" x14ac:dyDescent="0.35">
      <c r="A5" s="1" t="s">
        <v>57</v>
      </c>
      <c r="C5" s="3">
        <v>12</v>
      </c>
      <c r="D5" s="3"/>
      <c r="E5" s="3"/>
      <c r="F5" s="3"/>
      <c r="G5" s="3"/>
      <c r="H5" s="3"/>
      <c r="I5" s="1">
        <f>SUM(C5:H5)</f>
        <v>12</v>
      </c>
    </row>
    <row r="6" spans="1:9" x14ac:dyDescent="0.35">
      <c r="A6" s="1" t="s">
        <v>20</v>
      </c>
      <c r="C6" s="3">
        <v>10</v>
      </c>
      <c r="D6" s="3"/>
      <c r="E6" s="3"/>
      <c r="F6" s="3"/>
      <c r="G6" s="3"/>
      <c r="H6" s="3"/>
      <c r="I6" s="1">
        <f>SUM(C6:H6)</f>
        <v>10</v>
      </c>
    </row>
    <row r="7" spans="1:9" x14ac:dyDescent="0.35">
      <c r="A7" s="1" t="s">
        <v>5</v>
      </c>
      <c r="C7" s="3">
        <v>10</v>
      </c>
      <c r="D7" s="3"/>
      <c r="E7" s="3"/>
      <c r="F7" s="3"/>
      <c r="G7" s="3"/>
      <c r="H7" s="3"/>
      <c r="I7" s="1">
        <f>SUM(C7:H7)</f>
        <v>10</v>
      </c>
    </row>
    <row r="8" spans="1:9" x14ac:dyDescent="0.35">
      <c r="A8" s="1" t="s">
        <v>33</v>
      </c>
      <c r="C8" s="3">
        <v>7</v>
      </c>
      <c r="D8" s="3"/>
      <c r="E8" s="3"/>
      <c r="F8" s="3"/>
      <c r="G8" s="3"/>
      <c r="H8" s="3"/>
      <c r="I8" s="1">
        <f>SUM(C8:H8)</f>
        <v>7</v>
      </c>
    </row>
    <row r="9" spans="1:9" x14ac:dyDescent="0.35">
      <c r="A9" s="1" t="s">
        <v>23</v>
      </c>
      <c r="C9" s="3">
        <v>4</v>
      </c>
      <c r="D9" s="3"/>
      <c r="E9" s="3"/>
      <c r="F9" s="3"/>
      <c r="G9" s="3"/>
      <c r="H9" s="3"/>
      <c r="I9" s="1">
        <f>SUM(C9:H9)</f>
        <v>4</v>
      </c>
    </row>
    <row r="10" spans="1:9" x14ac:dyDescent="0.35">
      <c r="A10" s="1" t="s">
        <v>67</v>
      </c>
      <c r="C10" s="3">
        <v>1</v>
      </c>
      <c r="D10" s="3"/>
      <c r="E10" s="3"/>
      <c r="F10" s="3"/>
      <c r="G10" s="3"/>
      <c r="H10" s="3"/>
      <c r="I10" s="1">
        <f>SUM(C10:H10)</f>
        <v>1</v>
      </c>
    </row>
    <row r="11" spans="1:9" x14ac:dyDescent="0.35">
      <c r="A11" s="1" t="s">
        <v>31</v>
      </c>
      <c r="C11" s="3">
        <v>0</v>
      </c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9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37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96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92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35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49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27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129</v>
      </c>
      <c r="C19" s="3">
        <v>0</v>
      </c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7</v>
      </c>
      <c r="C20" s="3">
        <v>0</v>
      </c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11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89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51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133</v>
      </c>
      <c r="C24" s="3">
        <v>0</v>
      </c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62</v>
      </c>
      <c r="C25" s="3">
        <v>0</v>
      </c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90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60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/>
      <c r="B28" s="1" t="s">
        <v>73</v>
      </c>
      <c r="C28" s="1">
        <f>COUNTIF(Table13456789101115[7/12],"&lt;110")</f>
        <v>15</v>
      </c>
      <c r="D28" s="1">
        <f>COUNTIF(Table13456789101115[7/19],"&lt;11")</f>
        <v>0</v>
      </c>
      <c r="E28" s="1">
        <f>COUNTIF(Table13456789101115[7/26],"&lt;11")</f>
        <v>0</v>
      </c>
      <c r="F28" s="1">
        <f>COUNTIF(Table13456789101115[8/9],"&lt;11")</f>
        <v>0</v>
      </c>
      <c r="G28" s="1">
        <f>COUNTIF(Table13456789101115[8/16],"&lt;11")</f>
        <v>0</v>
      </c>
      <c r="H28" s="1">
        <f>COUNTIF(Table13456789101115[8/23],"&lt;11")</f>
        <v>0</v>
      </c>
      <c r="I28" s="1">
        <f>SUM(Table13456789101115[[#Totals],[7/12]:[8/23]])</f>
        <v>15</v>
      </c>
    </row>
    <row r="29" spans="1:9" x14ac:dyDescent="0.35">
      <c r="A29" s="1" t="s">
        <v>71</v>
      </c>
    </row>
  </sheetData>
  <dataConsolidate leftLabels="1">
    <dataRefs count="4">
      <dataRef ref="A2:H27" sheet="5,500"/>
      <dataRef ref="A2:H27" sheet="6,000"/>
      <dataRef ref="A2:H27" sheet="6,500"/>
      <dataRef ref="A2:H27" sheet="7,0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4C72-6AF0-41E5-9929-779CCC5E6B73}">
  <dimension ref="A1:Q47"/>
  <sheetViews>
    <sheetView workbookViewId="0">
      <selection activeCell="A62" sqref="A62"/>
    </sheetView>
  </sheetViews>
  <sheetFormatPr defaultColWidth="8.85546875" defaultRowHeight="23.25" x14ac:dyDescent="0.35"/>
  <cols>
    <col min="1" max="1" width="26" style="1" bestFit="1" customWidth="1"/>
    <col min="2" max="2" width="13.7109375" style="1" bestFit="1" customWidth="1"/>
    <col min="3" max="3" width="11.85546875" style="1" bestFit="1" customWidth="1"/>
    <col min="4" max="7" width="10.28515625" style="1" bestFit="1" customWidth="1"/>
    <col min="8" max="8" width="13.7109375" style="1" bestFit="1" customWidth="1"/>
    <col min="9" max="9" width="8.85546875" style="1"/>
    <col min="10" max="10" width="17.140625" style="1" bestFit="1" customWidth="1"/>
    <col min="11" max="11" width="11" style="1" bestFit="1" customWidth="1"/>
    <col min="12" max="16" width="8.85546875" style="1"/>
    <col min="17" max="17" width="11.5703125" style="1" bestFit="1" customWidth="1"/>
    <col min="18" max="16384" width="8.85546875" style="1"/>
  </cols>
  <sheetData>
    <row r="1" spans="1:17" x14ac:dyDescent="0.35">
      <c r="A1" s="1" t="s">
        <v>74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127</v>
      </c>
      <c r="G1" s="2" t="s">
        <v>128</v>
      </c>
      <c r="H1" s="1" t="s">
        <v>2</v>
      </c>
    </row>
    <row r="2" spans="1:17" x14ac:dyDescent="0.35">
      <c r="A2" s="4" t="s">
        <v>75</v>
      </c>
      <c r="B2" s="3">
        <f>Table13[[#Totals],[7/12]]</f>
        <v>13</v>
      </c>
      <c r="C2" s="3">
        <f>Table13[[#Totals],[7/19]]</f>
        <v>0</v>
      </c>
      <c r="D2" s="3">
        <f>Table13[[#Totals],[7/26]]</f>
        <v>0</v>
      </c>
      <c r="E2" s="3">
        <f>Table13[[#Totals],[8/9]]</f>
        <v>0</v>
      </c>
      <c r="F2" s="3">
        <f>Table13[[#Totals],[8/16]]</f>
        <v>0</v>
      </c>
      <c r="G2" s="3">
        <f>Table13[[#Totals],[8/23]]</f>
        <v>0</v>
      </c>
      <c r="H2" s="1">
        <f t="shared" ref="H2:H9" si="0">SUM(B2:G2)</f>
        <v>13</v>
      </c>
    </row>
    <row r="3" spans="1:17" x14ac:dyDescent="0.35">
      <c r="A3" s="1" t="s">
        <v>76</v>
      </c>
      <c r="B3" s="3">
        <f>Table134[[#Totals],[7/12]]</f>
        <v>12</v>
      </c>
      <c r="C3" s="3">
        <f>Table134[[#Totals],[7/19]]</f>
        <v>0</v>
      </c>
      <c r="D3" s="3">
        <f>Table134[[#Totals],[7/26]]</f>
        <v>0</v>
      </c>
      <c r="E3" s="3">
        <f>Table134[[#Totals],[8/9]]</f>
        <v>0</v>
      </c>
      <c r="F3" s="3">
        <f>Table134[[#Totals],[8/16]]</f>
        <v>0</v>
      </c>
      <c r="G3" s="3">
        <f>Table134[[#Totals],[8/23]]</f>
        <v>0</v>
      </c>
      <c r="H3" s="1">
        <f t="shared" si="0"/>
        <v>12</v>
      </c>
    </row>
    <row r="4" spans="1:17" x14ac:dyDescent="0.35">
      <c r="A4" s="1" t="s">
        <v>77</v>
      </c>
      <c r="B4" s="3">
        <f>Table1345[[#Totals],[7/12]]</f>
        <v>9</v>
      </c>
      <c r="C4" s="3">
        <f>Table1345[[#Totals],[7/19]]</f>
        <v>0</v>
      </c>
      <c r="D4" s="3">
        <f>Table1345[[#Totals],[7/26]]</f>
        <v>0</v>
      </c>
      <c r="E4" s="3">
        <f>Table1345[[#Totals],[8/9]]</f>
        <v>0</v>
      </c>
      <c r="F4" s="3">
        <f>Table1345[[#Totals],[8/16]]</f>
        <v>0</v>
      </c>
      <c r="G4" s="3">
        <f>Table1345[[#Totals],[8/23]]</f>
        <v>0</v>
      </c>
      <c r="H4" s="1">
        <f t="shared" si="0"/>
        <v>9</v>
      </c>
    </row>
    <row r="5" spans="1:17" x14ac:dyDescent="0.35">
      <c r="A5" s="1" t="s">
        <v>78</v>
      </c>
      <c r="B5" s="3">
        <f>Table13456[[#Totals],[7/12]]</f>
        <v>0</v>
      </c>
      <c r="C5" s="3">
        <f>Table13456[[#Totals],[7/19]]</f>
        <v>0</v>
      </c>
      <c r="D5" s="3">
        <f>Table13456[[#Totals],[7/26]]</f>
        <v>0</v>
      </c>
      <c r="E5" s="3">
        <f>Table13456[[#Totals],[8/9]]</f>
        <v>0</v>
      </c>
      <c r="F5" s="3">
        <f>Table13456[[#Totals],[8/16]]</f>
        <v>0</v>
      </c>
      <c r="G5" s="3">
        <f>Table13456[[#Totals],[8/23]]</f>
        <v>0</v>
      </c>
      <c r="H5" s="1">
        <f t="shared" si="0"/>
        <v>0</v>
      </c>
    </row>
    <row r="6" spans="1:17" x14ac:dyDescent="0.35">
      <c r="A6" s="1" t="s">
        <v>79</v>
      </c>
      <c r="B6" s="3">
        <f>Table1345678910[[#Totals],[7/12]]</f>
        <v>0</v>
      </c>
      <c r="C6" s="3">
        <f>Table1345678910[[#Totals],[7/19]]</f>
        <v>0</v>
      </c>
      <c r="D6" s="3">
        <f>Table1345678910[[#Totals],[7/26]]</f>
        <v>0</v>
      </c>
      <c r="E6" s="3">
        <f>Table1345678910[[#Totals],[8/9]]</f>
        <v>0</v>
      </c>
      <c r="F6" s="3">
        <f>Table1345678910[[#Totals],[8/16]]</f>
        <v>0</v>
      </c>
      <c r="G6" s="3">
        <f>Table1345678910[[#Totals],[8/23]]</f>
        <v>0</v>
      </c>
      <c r="H6" s="1">
        <f t="shared" si="0"/>
        <v>0</v>
      </c>
    </row>
    <row r="7" spans="1:17" x14ac:dyDescent="0.35">
      <c r="A7" s="1" t="s">
        <v>80</v>
      </c>
      <c r="B7" s="3">
        <f>Table13456789[[#Totals],[7/12]]</f>
        <v>15</v>
      </c>
      <c r="C7" s="3">
        <f>Table13456789[[#Totals],[7/19]]</f>
        <v>0</v>
      </c>
      <c r="D7" s="3">
        <f>Table13456789[[#Totals],[7/26]]</f>
        <v>0</v>
      </c>
      <c r="E7" s="3">
        <f>Table13456789[[#Totals],[8/9]]</f>
        <v>0</v>
      </c>
      <c r="F7" s="3">
        <f>Table13456789[[#Totals],[8/16]]</f>
        <v>0</v>
      </c>
      <c r="G7" s="3">
        <f>Table13456789[[#Totals],[8/23]]</f>
        <v>0</v>
      </c>
      <c r="H7" s="1">
        <f t="shared" si="0"/>
        <v>15</v>
      </c>
    </row>
    <row r="8" spans="1:17" x14ac:dyDescent="0.35">
      <c r="A8" s="1" t="s">
        <v>81</v>
      </c>
      <c r="B8" s="3">
        <f>Table1345678[[#Totals],[7/12]]</f>
        <v>19</v>
      </c>
      <c r="C8" s="3">
        <f>Table1345678[[#Totals],[7/19]]</f>
        <v>0</v>
      </c>
      <c r="D8" s="3">
        <f>Table1345678[[#Totals],[7/26]]</f>
        <v>0</v>
      </c>
      <c r="E8" s="3">
        <f>Table1345678[[#Totals],[8/9]]</f>
        <v>0</v>
      </c>
      <c r="F8" s="3">
        <f>Table1345678[[#Totals],[8/16]]</f>
        <v>0</v>
      </c>
      <c r="G8" s="3">
        <f>Table1345678[[#Totals],[8/23]]</f>
        <v>0</v>
      </c>
      <c r="H8" s="1">
        <f t="shared" si="0"/>
        <v>19</v>
      </c>
    </row>
    <row r="9" spans="1:17" x14ac:dyDescent="0.35">
      <c r="A9" s="1" t="s">
        <v>82</v>
      </c>
      <c r="B9" s="3">
        <f>Table134567[[#Totals],[7/12]]</f>
        <v>17</v>
      </c>
      <c r="C9" s="3">
        <f>Table134567[[#Totals],[7/19]]</f>
        <v>0</v>
      </c>
      <c r="D9" s="3">
        <f>Table134567[[#Totals],[7/26]]</f>
        <v>0</v>
      </c>
      <c r="E9" s="3">
        <f>Table134567[[#Totals],[8/9]]</f>
        <v>0</v>
      </c>
      <c r="F9" s="3">
        <f>Table134567[[#Totals],[8/16]]</f>
        <v>0</v>
      </c>
      <c r="G9" s="3">
        <f>Table134567[[#Totals],[8/23]]</f>
        <v>0</v>
      </c>
      <c r="H9" s="1">
        <f t="shared" si="0"/>
        <v>17</v>
      </c>
    </row>
    <row r="10" spans="1:17" x14ac:dyDescent="0.35">
      <c r="B10" s="3">
        <f>SUM(Table134567891016[7/12])</f>
        <v>85</v>
      </c>
      <c r="C10" s="3">
        <f>SUM(Table134567891016[7/19])</f>
        <v>0</v>
      </c>
      <c r="D10" s="3">
        <f>SUM(Table134567891016[7/26])</f>
        <v>0</v>
      </c>
      <c r="E10" s="3">
        <f>SUM(Table134567891016[8/9])</f>
        <v>0</v>
      </c>
      <c r="F10" s="3">
        <f>SUM(Table134567891016[8/16])</f>
        <v>0</v>
      </c>
      <c r="G10" s="3">
        <f>SUM(Table134567891016[8/23])</f>
        <v>0</v>
      </c>
      <c r="H10" s="1">
        <f>SUM(Table134567891016[[#Totals],[7/12]:[8/23]])</f>
        <v>85</v>
      </c>
    </row>
    <row r="11" spans="1:17" hidden="1" x14ac:dyDescent="0.35">
      <c r="B11" s="3"/>
      <c r="C11" s="3"/>
      <c r="D11" s="3"/>
      <c r="E11" s="3"/>
      <c r="F11" s="3"/>
      <c r="G11" s="3"/>
    </row>
    <row r="12" spans="1:17" hidden="1" x14ac:dyDescent="0.35">
      <c r="A12" s="1" t="s">
        <v>83</v>
      </c>
      <c r="J12" s="1" t="s">
        <v>84</v>
      </c>
    </row>
    <row r="13" spans="1:17" hidden="1" x14ac:dyDescent="0.35">
      <c r="A13" s="1" t="s">
        <v>74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1" t="s">
        <v>2</v>
      </c>
      <c r="J13" s="1" t="s">
        <v>74</v>
      </c>
      <c r="K13" s="2" t="s">
        <v>14</v>
      </c>
      <c r="L13" s="2" t="s">
        <v>15</v>
      </c>
      <c r="M13" s="2" t="s">
        <v>16</v>
      </c>
      <c r="N13" s="2" t="s">
        <v>17</v>
      </c>
      <c r="O13" s="2" t="s">
        <v>18</v>
      </c>
      <c r="P13" s="2" t="s">
        <v>19</v>
      </c>
      <c r="Q13" s="1" t="s">
        <v>2</v>
      </c>
    </row>
    <row r="14" spans="1:17" hidden="1" x14ac:dyDescent="0.35">
      <c r="A14" s="4" t="s">
        <v>75</v>
      </c>
      <c r="B14" s="5">
        <f>B2*5</f>
        <v>65</v>
      </c>
      <c r="C14" s="5">
        <f t="shared" ref="C14:G14" si="1">C2*5</f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ref="H14:H21" si="2">SUM(B14:G14)</f>
        <v>65</v>
      </c>
      <c r="J14" s="4" t="s">
        <v>75</v>
      </c>
      <c r="K14" s="3">
        <f t="shared" ref="K14:K21" si="3">IF(ROUNDDOWN(B2/3,0)&gt;6,6,ROUNDDOWN(B2/3,0))</f>
        <v>4</v>
      </c>
      <c r="L14" s="3">
        <f t="shared" ref="L14:L21" si="4">IF(ROUNDDOWN(C2/3,0)&gt;6,6,ROUNDDOWN(C2/3,0))</f>
        <v>0</v>
      </c>
      <c r="M14" s="3">
        <f t="shared" ref="M14:M21" si="5">IF(ROUNDDOWN(D2/3,0)&gt;6,6,ROUNDDOWN(D2/3,0))</f>
        <v>0</v>
      </c>
      <c r="N14" s="3">
        <f t="shared" ref="N14:N21" si="6">IF(ROUNDDOWN(E2/3,0)&gt;6,6,ROUNDDOWN(E2/3,0))</f>
        <v>0</v>
      </c>
      <c r="O14" s="3">
        <f t="shared" ref="O14:O21" si="7">IF(ROUNDDOWN(F2/3,0)&gt;6,6,ROUNDDOWN(F2/3,0))</f>
        <v>0</v>
      </c>
      <c r="P14" s="3">
        <f t="shared" ref="P14:P21" si="8">IF(ROUNDDOWN(G2/3,0)&gt;6,6,ROUNDDOWN(G2/3,0))</f>
        <v>0</v>
      </c>
      <c r="Q14" s="3">
        <f t="shared" ref="Q14:Q21" si="9">SUM(K14:P14)</f>
        <v>4</v>
      </c>
    </row>
    <row r="15" spans="1:17" hidden="1" x14ac:dyDescent="0.35">
      <c r="A15" s="1" t="s">
        <v>76</v>
      </c>
      <c r="B15" s="5">
        <f>B3*5</f>
        <v>60</v>
      </c>
      <c r="C15" s="5">
        <f t="shared" ref="C15:G15" si="10">C3*5</f>
        <v>0</v>
      </c>
      <c r="D15" s="5">
        <f t="shared" si="10"/>
        <v>0</v>
      </c>
      <c r="E15" s="5">
        <f t="shared" si="10"/>
        <v>0</v>
      </c>
      <c r="F15" s="5">
        <f t="shared" si="10"/>
        <v>0</v>
      </c>
      <c r="G15" s="5">
        <f t="shared" si="10"/>
        <v>0</v>
      </c>
      <c r="H15" s="5">
        <f t="shared" si="2"/>
        <v>60</v>
      </c>
      <c r="J15" s="1" t="s">
        <v>76</v>
      </c>
      <c r="K15" s="3">
        <f t="shared" si="3"/>
        <v>4</v>
      </c>
      <c r="L15" s="3">
        <f t="shared" si="4"/>
        <v>0</v>
      </c>
      <c r="M15" s="3">
        <f t="shared" si="5"/>
        <v>0</v>
      </c>
      <c r="N15" s="3">
        <f t="shared" si="6"/>
        <v>0</v>
      </c>
      <c r="O15" s="3">
        <f t="shared" si="7"/>
        <v>0</v>
      </c>
      <c r="P15" s="3">
        <f t="shared" si="8"/>
        <v>0</v>
      </c>
      <c r="Q15" s="3">
        <f t="shared" si="9"/>
        <v>4</v>
      </c>
    </row>
    <row r="16" spans="1:17" hidden="1" x14ac:dyDescent="0.35">
      <c r="A16" s="1" t="s">
        <v>77</v>
      </c>
      <c r="B16" s="5">
        <f t="shared" ref="B16:G21" si="11">B4*5</f>
        <v>45</v>
      </c>
      <c r="C16" s="5">
        <f t="shared" si="11"/>
        <v>0</v>
      </c>
      <c r="D16" s="5">
        <f t="shared" si="11"/>
        <v>0</v>
      </c>
      <c r="E16" s="5">
        <f t="shared" si="11"/>
        <v>0</v>
      </c>
      <c r="F16" s="5">
        <f t="shared" si="11"/>
        <v>0</v>
      </c>
      <c r="G16" s="5">
        <f t="shared" si="11"/>
        <v>0</v>
      </c>
      <c r="H16" s="5">
        <f t="shared" si="2"/>
        <v>45</v>
      </c>
      <c r="J16" s="1" t="s">
        <v>77</v>
      </c>
      <c r="K16" s="3">
        <f t="shared" si="3"/>
        <v>3</v>
      </c>
      <c r="L16" s="3">
        <f t="shared" si="4"/>
        <v>0</v>
      </c>
      <c r="M16" s="3">
        <f t="shared" si="5"/>
        <v>0</v>
      </c>
      <c r="N16" s="3">
        <f t="shared" si="6"/>
        <v>0</v>
      </c>
      <c r="O16" s="3">
        <f t="shared" si="7"/>
        <v>0</v>
      </c>
      <c r="P16" s="3">
        <f t="shared" si="8"/>
        <v>0</v>
      </c>
      <c r="Q16" s="3">
        <f t="shared" si="9"/>
        <v>3</v>
      </c>
    </row>
    <row r="17" spans="1:17" hidden="1" x14ac:dyDescent="0.35">
      <c r="A17" s="1" t="s">
        <v>78</v>
      </c>
      <c r="B17" s="5">
        <f t="shared" si="11"/>
        <v>0</v>
      </c>
      <c r="C17" s="5">
        <f t="shared" si="11"/>
        <v>0</v>
      </c>
      <c r="D17" s="5">
        <f t="shared" si="11"/>
        <v>0</v>
      </c>
      <c r="E17" s="5">
        <f t="shared" si="11"/>
        <v>0</v>
      </c>
      <c r="F17" s="5">
        <f t="shared" si="11"/>
        <v>0</v>
      </c>
      <c r="G17" s="5">
        <f t="shared" si="11"/>
        <v>0</v>
      </c>
      <c r="H17" s="5">
        <f t="shared" si="2"/>
        <v>0</v>
      </c>
      <c r="J17" s="1" t="s">
        <v>78</v>
      </c>
      <c r="K17" s="3">
        <f t="shared" si="3"/>
        <v>0</v>
      </c>
      <c r="L17" s="3">
        <f t="shared" si="4"/>
        <v>0</v>
      </c>
      <c r="M17" s="3">
        <f t="shared" si="5"/>
        <v>0</v>
      </c>
      <c r="N17" s="3">
        <f t="shared" si="6"/>
        <v>0</v>
      </c>
      <c r="O17" s="3">
        <f t="shared" si="7"/>
        <v>0</v>
      </c>
      <c r="P17" s="3">
        <f t="shared" si="8"/>
        <v>0</v>
      </c>
      <c r="Q17" s="3">
        <f t="shared" si="9"/>
        <v>0</v>
      </c>
    </row>
    <row r="18" spans="1:17" hidden="1" x14ac:dyDescent="0.35">
      <c r="A18" s="1" t="s">
        <v>79</v>
      </c>
      <c r="B18" s="5">
        <f t="shared" si="11"/>
        <v>0</v>
      </c>
      <c r="C18" s="5">
        <f t="shared" si="11"/>
        <v>0</v>
      </c>
      <c r="D18" s="5">
        <f t="shared" si="11"/>
        <v>0</v>
      </c>
      <c r="E18" s="5">
        <f t="shared" si="11"/>
        <v>0</v>
      </c>
      <c r="F18" s="5">
        <f t="shared" si="11"/>
        <v>0</v>
      </c>
      <c r="G18" s="5">
        <f t="shared" si="11"/>
        <v>0</v>
      </c>
      <c r="H18" s="5">
        <f t="shared" si="2"/>
        <v>0</v>
      </c>
      <c r="J18" s="1" t="s">
        <v>79</v>
      </c>
      <c r="K18" s="3">
        <f t="shared" si="3"/>
        <v>0</v>
      </c>
      <c r="L18" s="3">
        <f t="shared" si="4"/>
        <v>0</v>
      </c>
      <c r="M18" s="3">
        <f t="shared" si="5"/>
        <v>0</v>
      </c>
      <c r="N18" s="3">
        <f t="shared" si="6"/>
        <v>0</v>
      </c>
      <c r="O18" s="3">
        <f t="shared" si="7"/>
        <v>0</v>
      </c>
      <c r="P18" s="3">
        <f t="shared" si="8"/>
        <v>0</v>
      </c>
      <c r="Q18" s="3">
        <f t="shared" si="9"/>
        <v>0</v>
      </c>
    </row>
    <row r="19" spans="1:17" hidden="1" x14ac:dyDescent="0.35">
      <c r="A19" s="1" t="s">
        <v>80</v>
      </c>
      <c r="B19" s="5">
        <f t="shared" si="11"/>
        <v>75</v>
      </c>
      <c r="C19" s="5">
        <f t="shared" si="11"/>
        <v>0</v>
      </c>
      <c r="D19" s="5">
        <f t="shared" si="11"/>
        <v>0</v>
      </c>
      <c r="E19" s="5">
        <f t="shared" si="11"/>
        <v>0</v>
      </c>
      <c r="F19" s="5">
        <f t="shared" si="11"/>
        <v>0</v>
      </c>
      <c r="G19" s="5">
        <f t="shared" si="11"/>
        <v>0</v>
      </c>
      <c r="H19" s="5">
        <f t="shared" si="2"/>
        <v>75</v>
      </c>
      <c r="J19" s="1" t="s">
        <v>80</v>
      </c>
      <c r="K19" s="3">
        <f t="shared" si="3"/>
        <v>5</v>
      </c>
      <c r="L19" s="3">
        <f t="shared" si="4"/>
        <v>0</v>
      </c>
      <c r="M19" s="3">
        <f t="shared" si="5"/>
        <v>0</v>
      </c>
      <c r="N19" s="3">
        <f t="shared" si="6"/>
        <v>0</v>
      </c>
      <c r="O19" s="3">
        <f t="shared" si="7"/>
        <v>0</v>
      </c>
      <c r="P19" s="3">
        <f t="shared" si="8"/>
        <v>0</v>
      </c>
      <c r="Q19" s="3">
        <f t="shared" si="9"/>
        <v>5</v>
      </c>
    </row>
    <row r="20" spans="1:17" hidden="1" x14ac:dyDescent="0.35">
      <c r="A20" s="1" t="s">
        <v>81</v>
      </c>
      <c r="B20" s="5">
        <f t="shared" si="11"/>
        <v>95</v>
      </c>
      <c r="C20" s="5">
        <f t="shared" si="11"/>
        <v>0</v>
      </c>
      <c r="D20" s="5">
        <f t="shared" si="11"/>
        <v>0</v>
      </c>
      <c r="E20" s="5">
        <f t="shared" si="11"/>
        <v>0</v>
      </c>
      <c r="F20" s="5">
        <f t="shared" si="11"/>
        <v>0</v>
      </c>
      <c r="G20" s="5">
        <f t="shared" si="11"/>
        <v>0</v>
      </c>
      <c r="H20" s="5">
        <f t="shared" si="2"/>
        <v>95</v>
      </c>
      <c r="J20" s="1" t="s">
        <v>81</v>
      </c>
      <c r="K20" s="3">
        <f t="shared" si="3"/>
        <v>6</v>
      </c>
      <c r="L20" s="3">
        <f t="shared" si="4"/>
        <v>0</v>
      </c>
      <c r="M20" s="3">
        <f t="shared" si="5"/>
        <v>0</v>
      </c>
      <c r="N20" s="3">
        <f t="shared" si="6"/>
        <v>0</v>
      </c>
      <c r="O20" s="3">
        <f t="shared" si="7"/>
        <v>0</v>
      </c>
      <c r="P20" s="3">
        <f t="shared" si="8"/>
        <v>0</v>
      </c>
      <c r="Q20" s="3">
        <f t="shared" si="9"/>
        <v>6</v>
      </c>
    </row>
    <row r="21" spans="1:17" hidden="1" x14ac:dyDescent="0.35">
      <c r="A21" s="1" t="s">
        <v>82</v>
      </c>
      <c r="B21" s="5">
        <f t="shared" si="11"/>
        <v>85</v>
      </c>
      <c r="C21" s="5">
        <f t="shared" si="11"/>
        <v>0</v>
      </c>
      <c r="D21" s="5">
        <f t="shared" si="11"/>
        <v>0</v>
      </c>
      <c r="E21" s="5">
        <f t="shared" si="11"/>
        <v>0</v>
      </c>
      <c r="F21" s="5">
        <f t="shared" si="11"/>
        <v>0</v>
      </c>
      <c r="G21" s="5">
        <f t="shared" si="11"/>
        <v>0</v>
      </c>
      <c r="H21" s="5">
        <f t="shared" si="2"/>
        <v>85</v>
      </c>
      <c r="J21" s="1" t="s">
        <v>82</v>
      </c>
      <c r="K21" s="3">
        <f t="shared" si="3"/>
        <v>5</v>
      </c>
      <c r="L21" s="3">
        <f t="shared" si="4"/>
        <v>0</v>
      </c>
      <c r="M21" s="3">
        <f t="shared" si="5"/>
        <v>0</v>
      </c>
      <c r="N21" s="3">
        <f t="shared" si="6"/>
        <v>0</v>
      </c>
      <c r="O21" s="3">
        <f t="shared" si="7"/>
        <v>0</v>
      </c>
      <c r="P21" s="3">
        <f t="shared" si="8"/>
        <v>0</v>
      </c>
      <c r="Q21" s="3">
        <f t="shared" si="9"/>
        <v>5</v>
      </c>
    </row>
    <row r="22" spans="1:17" hidden="1" x14ac:dyDescent="0.35">
      <c r="B22" s="5">
        <f>SUM(Table13456789101622[7/13])</f>
        <v>425</v>
      </c>
      <c r="C22" s="5">
        <f>SUM(Table13456789101622[7/20])</f>
        <v>0</v>
      </c>
      <c r="D22" s="5">
        <f>SUM(Table13456789101622[7/27])</f>
        <v>0</v>
      </c>
      <c r="E22" s="5">
        <f>SUM(Table13456789101622[8/10])</f>
        <v>0</v>
      </c>
      <c r="F22" s="5">
        <f>SUM(Table13456789101622[8/17])</f>
        <v>0</v>
      </c>
      <c r="G22" s="5">
        <f>SUM(Table13456789101622[8/24])</f>
        <v>0</v>
      </c>
      <c r="H22" s="5">
        <f>SUM(Table13456789101622[[#Totals],[7/13]:[8/24]])</f>
        <v>425</v>
      </c>
      <c r="K22" s="3">
        <f>SUM(Table134567891016222324[7/13])</f>
        <v>27</v>
      </c>
      <c r="L22" s="3">
        <f>SUM(Table134567891016222324[7/20])</f>
        <v>0</v>
      </c>
      <c r="M22" s="3">
        <f>SUM(Table134567891016222324[7/27])</f>
        <v>0</v>
      </c>
      <c r="N22" s="3">
        <f>SUM(Table134567891016222324[8/10])</f>
        <v>0</v>
      </c>
      <c r="O22" s="3">
        <f>SUM(Table134567891016222324[8/17])</f>
        <v>0</v>
      </c>
      <c r="P22" s="3">
        <f>SUM(Table134567891016222324[8/24])</f>
        <v>0</v>
      </c>
      <c r="Q22" s="3">
        <f>SUM(Table134567891016222324[[#Totals],[7/13]:[8/24]])</f>
        <v>27</v>
      </c>
    </row>
    <row r="23" spans="1:17" hidden="1" x14ac:dyDescent="0.35">
      <c r="B23" s="5"/>
      <c r="C23" s="5"/>
      <c r="D23" s="5"/>
      <c r="E23" s="5"/>
      <c r="F23" s="5"/>
      <c r="G23" s="5"/>
      <c r="H23" s="5"/>
    </row>
    <row r="24" spans="1:17" hidden="1" x14ac:dyDescent="0.35">
      <c r="A24" s="1" t="s">
        <v>85</v>
      </c>
    </row>
    <row r="25" spans="1:17" hidden="1" x14ac:dyDescent="0.35">
      <c r="A25" s="1" t="s">
        <v>74</v>
      </c>
      <c r="B25" s="2" t="s">
        <v>14</v>
      </c>
      <c r="C25" s="2" t="s">
        <v>15</v>
      </c>
      <c r="D25" s="2" t="s">
        <v>16</v>
      </c>
      <c r="E25" s="2" t="s">
        <v>17</v>
      </c>
      <c r="F25" s="2" t="s">
        <v>18</v>
      </c>
      <c r="G25" s="2" t="s">
        <v>19</v>
      </c>
      <c r="H25" s="1" t="s">
        <v>2</v>
      </c>
    </row>
    <row r="26" spans="1:17" hidden="1" x14ac:dyDescent="0.35">
      <c r="A26" s="4" t="s">
        <v>75</v>
      </c>
      <c r="B26" s="5">
        <f t="shared" ref="B26:B33" si="12">IF(K14*5+5=5,0,K14*5+5)</f>
        <v>25</v>
      </c>
      <c r="C26" s="5">
        <f t="shared" ref="C26:C33" si="13">IF(L14*5+5=5,0,L14*5+5)</f>
        <v>0</v>
      </c>
      <c r="D26" s="5">
        <f t="shared" ref="D26:D33" si="14">IF(M14*5+5=5,0,M14*5+5)</f>
        <v>0</v>
      </c>
      <c r="E26" s="5">
        <f t="shared" ref="E26:E33" si="15">IF(N14*5+5=5,0,N14*5+5)</f>
        <v>0</v>
      </c>
      <c r="F26" s="5">
        <f t="shared" ref="F26:F33" si="16">IF(O14*5+5=5,0,O14*5+5)</f>
        <v>0</v>
      </c>
      <c r="G26" s="5">
        <f t="shared" ref="G26:G33" si="17">IF(P14*5+5=5,0,P14*5+5)</f>
        <v>0</v>
      </c>
      <c r="H26" s="5">
        <f t="shared" ref="H26:H33" si="18">SUM(B26:G26)</f>
        <v>25</v>
      </c>
    </row>
    <row r="27" spans="1:17" hidden="1" x14ac:dyDescent="0.35">
      <c r="A27" s="1" t="s">
        <v>76</v>
      </c>
      <c r="B27" s="5">
        <f t="shared" si="12"/>
        <v>25</v>
      </c>
      <c r="C27" s="5">
        <f t="shared" si="13"/>
        <v>0</v>
      </c>
      <c r="D27" s="5">
        <f t="shared" si="14"/>
        <v>0</v>
      </c>
      <c r="E27" s="5">
        <f t="shared" si="15"/>
        <v>0</v>
      </c>
      <c r="F27" s="5">
        <f t="shared" si="16"/>
        <v>0</v>
      </c>
      <c r="G27" s="5">
        <f t="shared" si="17"/>
        <v>0</v>
      </c>
      <c r="H27" s="5">
        <f t="shared" si="18"/>
        <v>25</v>
      </c>
    </row>
    <row r="28" spans="1:17" hidden="1" x14ac:dyDescent="0.35">
      <c r="A28" s="1" t="s">
        <v>77</v>
      </c>
      <c r="B28" s="5">
        <f t="shared" si="12"/>
        <v>20</v>
      </c>
      <c r="C28" s="5">
        <f t="shared" si="13"/>
        <v>0</v>
      </c>
      <c r="D28" s="5">
        <f t="shared" si="14"/>
        <v>0</v>
      </c>
      <c r="E28" s="5">
        <f t="shared" si="15"/>
        <v>0</v>
      </c>
      <c r="F28" s="5">
        <f t="shared" si="16"/>
        <v>0</v>
      </c>
      <c r="G28" s="5">
        <f t="shared" si="17"/>
        <v>0</v>
      </c>
      <c r="H28" s="5">
        <f t="shared" si="18"/>
        <v>20</v>
      </c>
    </row>
    <row r="29" spans="1:17" hidden="1" x14ac:dyDescent="0.35">
      <c r="A29" s="1" t="s">
        <v>78</v>
      </c>
      <c r="B29" s="5">
        <f t="shared" si="12"/>
        <v>0</v>
      </c>
      <c r="C29" s="5">
        <f t="shared" si="13"/>
        <v>0</v>
      </c>
      <c r="D29" s="5">
        <f t="shared" si="14"/>
        <v>0</v>
      </c>
      <c r="E29" s="5">
        <f t="shared" si="15"/>
        <v>0</v>
      </c>
      <c r="F29" s="5">
        <f t="shared" si="16"/>
        <v>0</v>
      </c>
      <c r="G29" s="5">
        <f t="shared" si="17"/>
        <v>0</v>
      </c>
      <c r="H29" s="5">
        <f t="shared" si="18"/>
        <v>0</v>
      </c>
    </row>
    <row r="30" spans="1:17" hidden="1" x14ac:dyDescent="0.35">
      <c r="A30" s="1" t="s">
        <v>79</v>
      </c>
      <c r="B30" s="5">
        <f t="shared" si="12"/>
        <v>0</v>
      </c>
      <c r="C30" s="5">
        <f t="shared" si="13"/>
        <v>0</v>
      </c>
      <c r="D30" s="5">
        <f t="shared" si="14"/>
        <v>0</v>
      </c>
      <c r="E30" s="5">
        <f t="shared" si="15"/>
        <v>0</v>
      </c>
      <c r="F30" s="5">
        <f t="shared" si="16"/>
        <v>0</v>
      </c>
      <c r="G30" s="5">
        <f t="shared" si="17"/>
        <v>0</v>
      </c>
      <c r="H30" s="5">
        <f t="shared" si="18"/>
        <v>0</v>
      </c>
    </row>
    <row r="31" spans="1:17" hidden="1" x14ac:dyDescent="0.35">
      <c r="A31" s="1" t="s">
        <v>80</v>
      </c>
      <c r="B31" s="5">
        <f t="shared" si="12"/>
        <v>30</v>
      </c>
      <c r="C31" s="5">
        <f t="shared" si="13"/>
        <v>0</v>
      </c>
      <c r="D31" s="5">
        <f t="shared" si="14"/>
        <v>0</v>
      </c>
      <c r="E31" s="5">
        <f t="shared" si="15"/>
        <v>0</v>
      </c>
      <c r="F31" s="5">
        <f t="shared" si="16"/>
        <v>0</v>
      </c>
      <c r="G31" s="5">
        <f t="shared" si="17"/>
        <v>0</v>
      </c>
      <c r="H31" s="5">
        <f t="shared" si="18"/>
        <v>30</v>
      </c>
    </row>
    <row r="32" spans="1:17" hidden="1" x14ac:dyDescent="0.35">
      <c r="A32" s="1" t="s">
        <v>81</v>
      </c>
      <c r="B32" s="5">
        <f t="shared" si="12"/>
        <v>35</v>
      </c>
      <c r="C32" s="5">
        <f t="shared" si="13"/>
        <v>0</v>
      </c>
      <c r="D32" s="5">
        <f t="shared" si="14"/>
        <v>0</v>
      </c>
      <c r="E32" s="5">
        <f t="shared" si="15"/>
        <v>0</v>
      </c>
      <c r="F32" s="5">
        <f t="shared" si="16"/>
        <v>0</v>
      </c>
      <c r="G32" s="5">
        <f t="shared" si="17"/>
        <v>0</v>
      </c>
      <c r="H32" s="5">
        <f t="shared" si="18"/>
        <v>35</v>
      </c>
    </row>
    <row r="33" spans="1:8" hidden="1" x14ac:dyDescent="0.35">
      <c r="A33" s="1" t="s">
        <v>82</v>
      </c>
      <c r="B33" s="5">
        <f t="shared" si="12"/>
        <v>30</v>
      </c>
      <c r="C33" s="5">
        <f t="shared" si="13"/>
        <v>0</v>
      </c>
      <c r="D33" s="5">
        <f t="shared" si="14"/>
        <v>0</v>
      </c>
      <c r="E33" s="5">
        <f t="shared" si="15"/>
        <v>0</v>
      </c>
      <c r="F33" s="5">
        <f t="shared" si="16"/>
        <v>0</v>
      </c>
      <c r="G33" s="5">
        <f t="shared" si="17"/>
        <v>0</v>
      </c>
      <c r="H33" s="5">
        <f t="shared" si="18"/>
        <v>30</v>
      </c>
    </row>
    <row r="34" spans="1:8" hidden="1" x14ac:dyDescent="0.35">
      <c r="B34" s="5">
        <f>SUM(Table1345678910162223[7/13])</f>
        <v>165</v>
      </c>
      <c r="C34" s="5">
        <f>SUM(Table1345678910162223[7/20])</f>
        <v>0</v>
      </c>
      <c r="D34" s="5">
        <f>SUM(Table1345678910162223[7/27])</f>
        <v>0</v>
      </c>
      <c r="E34" s="5">
        <f>SUM(Table1345678910162223[8/10])</f>
        <v>0</v>
      </c>
      <c r="F34" s="5">
        <f>SUM(Table1345678910162223[8/17])</f>
        <v>0</v>
      </c>
      <c r="G34" s="5">
        <f>SUM(Table1345678910162223[8/24])</f>
        <v>0</v>
      </c>
      <c r="H34" s="5">
        <f>SUM(Table1345678910162223[[#Totals],[7/13]:[8/24]])</f>
        <v>165</v>
      </c>
    </row>
    <row r="35" spans="1:8" hidden="1" x14ac:dyDescent="0.35"/>
    <row r="36" spans="1:8" hidden="1" x14ac:dyDescent="0.35">
      <c r="A36" s="1" t="s">
        <v>86</v>
      </c>
    </row>
    <row r="37" spans="1:8" hidden="1" x14ac:dyDescent="0.35">
      <c r="A37" s="1" t="s">
        <v>74</v>
      </c>
      <c r="B37" s="2" t="s">
        <v>14</v>
      </c>
      <c r="C37" s="2" t="s">
        <v>15</v>
      </c>
      <c r="D37" s="2" t="s">
        <v>16</v>
      </c>
      <c r="E37" s="2" t="s">
        <v>17</v>
      </c>
      <c r="F37" s="2" t="s">
        <v>18</v>
      </c>
      <c r="G37" s="2" t="s">
        <v>19</v>
      </c>
      <c r="H37" s="1" t="s">
        <v>2</v>
      </c>
    </row>
    <row r="38" spans="1:8" hidden="1" x14ac:dyDescent="0.35">
      <c r="A38" s="4" t="s">
        <v>75</v>
      </c>
      <c r="B38" s="5">
        <f t="shared" ref="B38:G45" si="19">B14-B26</f>
        <v>40</v>
      </c>
      <c r="C38" s="5">
        <f t="shared" si="19"/>
        <v>0</v>
      </c>
      <c r="D38" s="5">
        <f t="shared" si="19"/>
        <v>0</v>
      </c>
      <c r="E38" s="5">
        <f t="shared" si="19"/>
        <v>0</v>
      </c>
      <c r="F38" s="5">
        <f t="shared" si="19"/>
        <v>0</v>
      </c>
      <c r="G38" s="5">
        <f t="shared" si="19"/>
        <v>0</v>
      </c>
      <c r="H38" s="5">
        <f t="shared" ref="H38:H45" si="20">SUM(B38:G38)</f>
        <v>40</v>
      </c>
    </row>
    <row r="39" spans="1:8" hidden="1" x14ac:dyDescent="0.35">
      <c r="A39" s="1" t="s">
        <v>76</v>
      </c>
      <c r="B39" s="5">
        <f t="shared" si="19"/>
        <v>35</v>
      </c>
      <c r="C39" s="5">
        <f t="shared" si="19"/>
        <v>0</v>
      </c>
      <c r="D39" s="5">
        <f t="shared" si="19"/>
        <v>0</v>
      </c>
      <c r="E39" s="5">
        <f t="shared" si="19"/>
        <v>0</v>
      </c>
      <c r="F39" s="5">
        <f t="shared" si="19"/>
        <v>0</v>
      </c>
      <c r="G39" s="5">
        <f t="shared" si="19"/>
        <v>0</v>
      </c>
      <c r="H39" s="5">
        <f t="shared" si="20"/>
        <v>35</v>
      </c>
    </row>
    <row r="40" spans="1:8" hidden="1" x14ac:dyDescent="0.35">
      <c r="A40" s="1" t="s">
        <v>77</v>
      </c>
      <c r="B40" s="5">
        <f t="shared" si="19"/>
        <v>25</v>
      </c>
      <c r="C40" s="5">
        <f t="shared" si="19"/>
        <v>0</v>
      </c>
      <c r="D40" s="5">
        <f t="shared" si="19"/>
        <v>0</v>
      </c>
      <c r="E40" s="5">
        <f t="shared" si="19"/>
        <v>0</v>
      </c>
      <c r="F40" s="5">
        <f t="shared" si="19"/>
        <v>0</v>
      </c>
      <c r="G40" s="5">
        <f t="shared" si="19"/>
        <v>0</v>
      </c>
      <c r="H40" s="5">
        <f t="shared" si="20"/>
        <v>25</v>
      </c>
    </row>
    <row r="41" spans="1:8" hidden="1" x14ac:dyDescent="0.35">
      <c r="A41" s="1" t="s">
        <v>78</v>
      </c>
      <c r="B41" s="5">
        <f t="shared" si="19"/>
        <v>0</v>
      </c>
      <c r="C41" s="5">
        <f t="shared" si="19"/>
        <v>0</v>
      </c>
      <c r="D41" s="5">
        <f t="shared" si="19"/>
        <v>0</v>
      </c>
      <c r="E41" s="5">
        <f t="shared" si="19"/>
        <v>0</v>
      </c>
      <c r="F41" s="5">
        <f t="shared" si="19"/>
        <v>0</v>
      </c>
      <c r="G41" s="5">
        <f t="shared" si="19"/>
        <v>0</v>
      </c>
      <c r="H41" s="5">
        <f t="shared" si="20"/>
        <v>0</v>
      </c>
    </row>
    <row r="42" spans="1:8" hidden="1" x14ac:dyDescent="0.35">
      <c r="A42" s="1" t="s">
        <v>79</v>
      </c>
      <c r="B42" s="5">
        <f t="shared" si="19"/>
        <v>0</v>
      </c>
      <c r="C42" s="5">
        <f t="shared" si="19"/>
        <v>0</v>
      </c>
      <c r="D42" s="5">
        <f t="shared" si="19"/>
        <v>0</v>
      </c>
      <c r="E42" s="5">
        <f t="shared" si="19"/>
        <v>0</v>
      </c>
      <c r="F42" s="5">
        <f t="shared" si="19"/>
        <v>0</v>
      </c>
      <c r="G42" s="5">
        <f t="shared" si="19"/>
        <v>0</v>
      </c>
      <c r="H42" s="5">
        <f t="shared" si="20"/>
        <v>0</v>
      </c>
    </row>
    <row r="43" spans="1:8" hidden="1" x14ac:dyDescent="0.35">
      <c r="A43" s="1" t="s">
        <v>80</v>
      </c>
      <c r="B43" s="5">
        <f t="shared" si="19"/>
        <v>45</v>
      </c>
      <c r="C43" s="5">
        <f t="shared" si="19"/>
        <v>0</v>
      </c>
      <c r="D43" s="5">
        <f t="shared" si="19"/>
        <v>0</v>
      </c>
      <c r="E43" s="5">
        <f t="shared" si="19"/>
        <v>0</v>
      </c>
      <c r="F43" s="5">
        <f t="shared" si="19"/>
        <v>0</v>
      </c>
      <c r="G43" s="5">
        <f t="shared" si="19"/>
        <v>0</v>
      </c>
      <c r="H43" s="5">
        <f t="shared" si="20"/>
        <v>45</v>
      </c>
    </row>
    <row r="44" spans="1:8" hidden="1" x14ac:dyDescent="0.35">
      <c r="A44" s="1" t="s">
        <v>81</v>
      </c>
      <c r="B44" s="5">
        <f t="shared" si="19"/>
        <v>60</v>
      </c>
      <c r="C44" s="5">
        <f t="shared" si="19"/>
        <v>0</v>
      </c>
      <c r="D44" s="5">
        <f t="shared" si="19"/>
        <v>0</v>
      </c>
      <c r="E44" s="5">
        <f t="shared" si="19"/>
        <v>0</v>
      </c>
      <c r="F44" s="5">
        <f t="shared" si="19"/>
        <v>0</v>
      </c>
      <c r="G44" s="5">
        <f t="shared" si="19"/>
        <v>0</v>
      </c>
      <c r="H44" s="5">
        <f t="shared" si="20"/>
        <v>60</v>
      </c>
    </row>
    <row r="45" spans="1:8" hidden="1" x14ac:dyDescent="0.35">
      <c r="A45" s="1" t="s">
        <v>82</v>
      </c>
      <c r="B45" s="5">
        <f t="shared" si="19"/>
        <v>55</v>
      </c>
      <c r="C45" s="5">
        <f t="shared" si="19"/>
        <v>0</v>
      </c>
      <c r="D45" s="5">
        <f t="shared" si="19"/>
        <v>0</v>
      </c>
      <c r="E45" s="5">
        <f t="shared" si="19"/>
        <v>0</v>
      </c>
      <c r="F45" s="5">
        <f t="shared" si="19"/>
        <v>0</v>
      </c>
      <c r="G45" s="5">
        <f t="shared" si="19"/>
        <v>0</v>
      </c>
      <c r="H45" s="5">
        <f t="shared" si="20"/>
        <v>55</v>
      </c>
    </row>
    <row r="46" spans="1:8" hidden="1" x14ac:dyDescent="0.35">
      <c r="B46" s="5">
        <f>SUM(Table134567891016222325[7/13])</f>
        <v>260</v>
      </c>
      <c r="C46" s="5">
        <f>SUM(Table134567891016222325[7/20])</f>
        <v>0</v>
      </c>
      <c r="D46" s="5">
        <f>SUM(Table134567891016222325[7/27])</f>
        <v>0</v>
      </c>
      <c r="E46" s="5">
        <f>SUM(Table134567891016222325[8/10])</f>
        <v>0</v>
      </c>
      <c r="F46" s="5">
        <f>SUM(Table134567891016222325[8/17])</f>
        <v>0</v>
      </c>
      <c r="G46" s="5">
        <f>SUM(Table134567891016222325[8/24])</f>
        <v>0</v>
      </c>
      <c r="H46" s="5">
        <f>SUM(Table134567891016222325[[#Totals],[7/13]:[8/24]])</f>
        <v>260</v>
      </c>
    </row>
    <row r="47" spans="1:8" hidden="1" x14ac:dyDescent="0.3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A794-FEC2-43F8-91B9-034C3CCB1051}">
  <dimension ref="A1:D29"/>
  <sheetViews>
    <sheetView topLeftCell="A12" workbookViewId="0">
      <selection activeCell="C28" sqref="C28"/>
    </sheetView>
  </sheetViews>
  <sheetFormatPr defaultColWidth="8.85546875" defaultRowHeight="23.25" x14ac:dyDescent="0.35"/>
  <cols>
    <col min="1" max="1" width="26" style="1" bestFit="1" customWidth="1"/>
    <col min="2" max="2" width="32.5703125" style="1" customWidth="1"/>
    <col min="3" max="3" width="19.28515625" style="1" customWidth="1"/>
    <col min="4" max="4" width="11.7109375" style="1" bestFit="1" customWidth="1"/>
    <col min="5" max="16384" width="8.85546875" style="1"/>
  </cols>
  <sheetData>
    <row r="1" spans="1:4" x14ac:dyDescent="0.35">
      <c r="A1" s="1" t="s">
        <v>111</v>
      </c>
      <c r="B1" s="1" t="s">
        <v>116</v>
      </c>
      <c r="C1" s="2" t="s">
        <v>112</v>
      </c>
      <c r="D1" s="2" t="s">
        <v>113</v>
      </c>
    </row>
    <row r="2" spans="1:4" x14ac:dyDescent="0.35">
      <c r="A2" s="1" t="s">
        <v>101</v>
      </c>
      <c r="B2" s="1" t="s">
        <v>23</v>
      </c>
      <c r="C2" s="3"/>
      <c r="D2" s="3">
        <v>132</v>
      </c>
    </row>
    <row r="3" spans="1:4" x14ac:dyDescent="0.35">
      <c r="A3" s="1" t="s">
        <v>102</v>
      </c>
      <c r="B3" s="1" t="s">
        <v>11</v>
      </c>
      <c r="C3" s="3"/>
      <c r="D3" s="3">
        <v>102</v>
      </c>
    </row>
    <row r="4" spans="1:4" x14ac:dyDescent="0.35">
      <c r="A4" s="1" t="s">
        <v>103</v>
      </c>
      <c r="B4" s="1" t="s">
        <v>3</v>
      </c>
      <c r="C4" s="3"/>
      <c r="D4" s="3">
        <v>92</v>
      </c>
    </row>
    <row r="5" spans="1:4" x14ac:dyDescent="0.35">
      <c r="A5" s="1" t="s">
        <v>104</v>
      </c>
      <c r="B5" s="1" t="s">
        <v>5</v>
      </c>
      <c r="C5" s="3"/>
      <c r="D5" s="3">
        <v>86</v>
      </c>
    </row>
    <row r="6" spans="1:4" x14ac:dyDescent="0.35">
      <c r="A6" s="1" t="s">
        <v>105</v>
      </c>
      <c r="B6" s="1" t="s">
        <v>33</v>
      </c>
      <c r="C6" s="3"/>
      <c r="D6" s="3">
        <v>85</v>
      </c>
    </row>
    <row r="7" spans="1:4" x14ac:dyDescent="0.35">
      <c r="A7" s="1" t="s">
        <v>106</v>
      </c>
      <c r="B7" s="1" t="s">
        <v>29</v>
      </c>
      <c r="C7" s="3"/>
      <c r="D7" s="3">
        <v>78</v>
      </c>
    </row>
    <row r="8" spans="1:4" x14ac:dyDescent="0.35">
      <c r="A8" s="1" t="s">
        <v>107</v>
      </c>
      <c r="B8" s="1" t="s">
        <v>42</v>
      </c>
      <c r="C8" s="3"/>
      <c r="D8" s="3">
        <v>73</v>
      </c>
    </row>
    <row r="9" spans="1:4" x14ac:dyDescent="0.35">
      <c r="A9" s="1" t="s">
        <v>108</v>
      </c>
      <c r="B9" s="1" t="s">
        <v>20</v>
      </c>
      <c r="C9" s="3"/>
      <c r="D9" s="3">
        <v>72</v>
      </c>
    </row>
    <row r="10" spans="1:4" x14ac:dyDescent="0.35">
      <c r="A10" s="1" t="s">
        <v>109</v>
      </c>
      <c r="B10" s="1" t="s">
        <v>67</v>
      </c>
      <c r="C10" s="3"/>
      <c r="D10" s="3">
        <v>67</v>
      </c>
    </row>
    <row r="11" spans="1:4" x14ac:dyDescent="0.35">
      <c r="A11" s="1" t="s">
        <v>110</v>
      </c>
      <c r="B11" s="1" t="s">
        <v>37</v>
      </c>
      <c r="C11" s="3"/>
      <c r="D11" s="3">
        <v>51</v>
      </c>
    </row>
    <row r="12" spans="1:4" x14ac:dyDescent="0.35">
      <c r="A12" s="15" t="s">
        <v>114</v>
      </c>
      <c r="B12" s="15"/>
      <c r="C12" s="15"/>
      <c r="D12" s="15"/>
    </row>
    <row r="13" spans="1:4" ht="13.9" customHeight="1" x14ac:dyDescent="0.35">
      <c r="A13" s="6"/>
      <c r="B13" s="6"/>
      <c r="C13" s="6"/>
      <c r="D13" s="6"/>
    </row>
    <row r="14" spans="1:4" x14ac:dyDescent="0.35">
      <c r="A14" s="6"/>
      <c r="B14" s="6"/>
      <c r="C14" s="6"/>
      <c r="D14" s="6"/>
    </row>
    <row r="15" spans="1:4" x14ac:dyDescent="0.35">
      <c r="A15" s="1" t="s">
        <v>115</v>
      </c>
      <c r="B15" s="1" t="s">
        <v>116</v>
      </c>
      <c r="C15" s="2" t="s">
        <v>117</v>
      </c>
      <c r="D15" s="2" t="s">
        <v>113</v>
      </c>
    </row>
    <row r="16" spans="1:4" x14ac:dyDescent="0.35">
      <c r="A16" s="1" t="s">
        <v>75</v>
      </c>
      <c r="B16" s="1" t="s">
        <v>3</v>
      </c>
      <c r="C16" s="3" t="s">
        <v>4</v>
      </c>
      <c r="D16" s="3">
        <v>21</v>
      </c>
    </row>
    <row r="17" spans="1:4" x14ac:dyDescent="0.35">
      <c r="A17" s="1" t="s">
        <v>76</v>
      </c>
      <c r="B17" s="1" t="s">
        <v>29</v>
      </c>
      <c r="C17" s="3" t="s">
        <v>30</v>
      </c>
      <c r="D17" s="3">
        <v>31</v>
      </c>
    </row>
    <row r="18" spans="1:4" x14ac:dyDescent="0.35">
      <c r="A18" s="1" t="s">
        <v>77</v>
      </c>
      <c r="B18" s="1" t="s">
        <v>29</v>
      </c>
      <c r="C18" s="3" t="s">
        <v>30</v>
      </c>
      <c r="D18" s="3">
        <v>28</v>
      </c>
    </row>
    <row r="19" spans="1:4" x14ac:dyDescent="0.35">
      <c r="A19" s="1" t="s">
        <v>78</v>
      </c>
      <c r="B19" s="1" t="s">
        <v>23</v>
      </c>
      <c r="C19" s="3" t="s">
        <v>24</v>
      </c>
      <c r="D19" s="3">
        <v>30</v>
      </c>
    </row>
    <row r="20" spans="1:4" x14ac:dyDescent="0.35">
      <c r="A20" s="1" t="s">
        <v>79</v>
      </c>
      <c r="B20" s="1" t="s">
        <v>67</v>
      </c>
      <c r="C20" s="3" t="s">
        <v>68</v>
      </c>
      <c r="D20" s="3">
        <v>24</v>
      </c>
    </row>
    <row r="21" spans="1:4" x14ac:dyDescent="0.35">
      <c r="A21" s="1" t="s">
        <v>80</v>
      </c>
      <c r="B21" s="1" t="s">
        <v>5</v>
      </c>
      <c r="C21" s="3" t="s">
        <v>59</v>
      </c>
      <c r="D21" s="3">
        <v>21</v>
      </c>
    </row>
    <row r="22" spans="1:4" x14ac:dyDescent="0.35">
      <c r="A22" s="1" t="s">
        <v>81</v>
      </c>
      <c r="B22" s="1" t="s">
        <v>47</v>
      </c>
      <c r="C22" s="3" t="s">
        <v>48</v>
      </c>
      <c r="D22" s="3">
        <v>22</v>
      </c>
    </row>
    <row r="23" spans="1:4" x14ac:dyDescent="0.35">
      <c r="A23" s="1" t="s">
        <v>82</v>
      </c>
      <c r="B23" s="1" t="s">
        <v>23</v>
      </c>
      <c r="C23" s="3" t="s">
        <v>56</v>
      </c>
      <c r="D23" s="3">
        <v>24</v>
      </c>
    </row>
    <row r="24" spans="1:4" x14ac:dyDescent="0.35">
      <c r="A24" s="15" t="s">
        <v>118</v>
      </c>
      <c r="B24" s="15"/>
      <c r="C24" s="15"/>
      <c r="D24" s="15"/>
    </row>
    <row r="25" spans="1:4" ht="14.45" customHeight="1" x14ac:dyDescent="0.35">
      <c r="A25" s="6"/>
      <c r="B25" s="6"/>
      <c r="C25" s="6"/>
      <c r="D25" s="6"/>
    </row>
    <row r="27" spans="1:4" x14ac:dyDescent="0.35">
      <c r="A27" s="7" t="s">
        <v>119</v>
      </c>
      <c r="B27" s="8" t="s">
        <v>112</v>
      </c>
      <c r="C27" s="9" t="s">
        <v>117</v>
      </c>
      <c r="D27" s="10" t="s">
        <v>113</v>
      </c>
    </row>
    <row r="28" spans="1:4" x14ac:dyDescent="0.35">
      <c r="A28" s="11" t="s">
        <v>120</v>
      </c>
      <c r="B28" s="12"/>
      <c r="C28" s="13" t="s">
        <v>4</v>
      </c>
      <c r="D28" s="14">
        <v>80</v>
      </c>
    </row>
    <row r="29" spans="1:4" ht="16.899999999999999" customHeight="1" x14ac:dyDescent="0.35">
      <c r="A29" s="16" t="s">
        <v>121</v>
      </c>
      <c r="B29" s="16"/>
      <c r="C29" s="16"/>
      <c r="D29" s="16"/>
    </row>
  </sheetData>
  <dataConsolidate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mergeCells count="3">
    <mergeCell ref="A12:D12"/>
    <mergeCell ref="A24:D24"/>
    <mergeCell ref="A29:D29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EFBF-D5E5-47FA-B4F4-B5FFDEF3AC23}">
  <dimension ref="A1:I37"/>
  <sheetViews>
    <sheetView workbookViewId="0">
      <selection activeCell="C35" sqref="C35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42</v>
      </c>
      <c r="B2" s="1" t="s">
        <v>43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3</v>
      </c>
      <c r="B3" s="1" t="s">
        <v>44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33</v>
      </c>
      <c r="B4" s="1" t="s">
        <v>53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20</v>
      </c>
      <c r="B5" s="1" t="s">
        <v>70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57</v>
      </c>
      <c r="B6" s="1" t="s">
        <v>58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33</v>
      </c>
      <c r="B7" s="1" t="s">
        <v>45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37</v>
      </c>
      <c r="B8" s="1" t="s">
        <v>45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37</v>
      </c>
      <c r="B9" s="1" t="s">
        <v>53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96</v>
      </c>
      <c r="B10" s="1" t="s">
        <v>97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92</v>
      </c>
      <c r="B11" s="1" t="s">
        <v>93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35</v>
      </c>
      <c r="B12" s="1" t="s">
        <v>70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49</v>
      </c>
      <c r="B13" s="1" t="s">
        <v>50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27</v>
      </c>
      <c r="B14" s="1" t="s">
        <v>70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129</v>
      </c>
      <c r="B15" s="1" t="s">
        <v>130</v>
      </c>
      <c r="C15" s="3">
        <v>0</v>
      </c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129</v>
      </c>
      <c r="B16" s="1" t="s">
        <v>131</v>
      </c>
      <c r="C16" s="3">
        <v>0</v>
      </c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7</v>
      </c>
      <c r="B17" s="1" t="s">
        <v>46</v>
      </c>
      <c r="C17" s="3">
        <v>0</v>
      </c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11</v>
      </c>
      <c r="B18" s="1" t="s">
        <v>64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89</v>
      </c>
      <c r="B19" s="1" t="s">
        <v>54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89</v>
      </c>
      <c r="B20" s="1" t="s">
        <v>48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5</v>
      </c>
      <c r="B21" s="1" t="s">
        <v>59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51</v>
      </c>
      <c r="B22" s="1" t="s">
        <v>52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67</v>
      </c>
      <c r="B23" s="1" t="s">
        <v>69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67</v>
      </c>
      <c r="B24" s="1" t="s">
        <v>68</v>
      </c>
      <c r="C24" s="3">
        <v>0</v>
      </c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62</v>
      </c>
      <c r="B25" s="1" t="s">
        <v>65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60</v>
      </c>
      <c r="B26" s="1" t="s">
        <v>61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39</v>
      </c>
      <c r="B27" s="1" t="s">
        <v>66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</v>
      </c>
      <c r="B28" s="1" t="s">
        <v>55</v>
      </c>
      <c r="C28" s="3">
        <v>0</v>
      </c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23</v>
      </c>
      <c r="B29" s="1" t="s">
        <v>56</v>
      </c>
      <c r="C29" s="3">
        <v>0</v>
      </c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47</v>
      </c>
      <c r="B30" s="1" t="s">
        <v>48</v>
      </c>
      <c r="C30" s="3">
        <v>0</v>
      </c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47</v>
      </c>
      <c r="B31" s="1" t="s">
        <v>54</v>
      </c>
      <c r="C31" s="3">
        <v>0</v>
      </c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71</v>
      </c>
      <c r="B32" s="1" t="s">
        <v>72</v>
      </c>
      <c r="C32" s="3">
        <v>0</v>
      </c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40</v>
      </c>
      <c r="B33" s="1" t="s">
        <v>41</v>
      </c>
      <c r="C33" s="3"/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A34" s="1" t="s">
        <v>94</v>
      </c>
      <c r="B34" s="1" t="s">
        <v>95</v>
      </c>
      <c r="C34" s="3"/>
      <c r="D34" s="3"/>
      <c r="E34" s="3"/>
      <c r="F34" s="3"/>
      <c r="G34" s="3"/>
      <c r="H34" s="3"/>
      <c r="I34" s="1">
        <f>SUM(C34:H34)</f>
        <v>0</v>
      </c>
    </row>
    <row r="35" spans="1:9" x14ac:dyDescent="0.35">
      <c r="A35" s="1" t="s">
        <v>42</v>
      </c>
      <c r="B35" s="1" t="s">
        <v>63</v>
      </c>
      <c r="C35" s="3">
        <v>0</v>
      </c>
      <c r="D35" s="3"/>
      <c r="E35" s="3"/>
      <c r="F35" s="3"/>
      <c r="G35" s="3"/>
      <c r="H35" s="3"/>
      <c r="I35" s="1">
        <f>SUM(C35:H35)</f>
        <v>0</v>
      </c>
    </row>
    <row r="36" spans="1:9" x14ac:dyDescent="0.35">
      <c r="A36" s="1" t="s">
        <v>98</v>
      </c>
      <c r="B36" s="1" t="s">
        <v>99</v>
      </c>
      <c r="C36" s="3"/>
      <c r="D36" s="3"/>
      <c r="E36" s="3"/>
      <c r="F36" s="3"/>
      <c r="G36" s="3"/>
      <c r="H36" s="3"/>
      <c r="I36" s="1">
        <f>SUM(C36:H36)</f>
        <v>0</v>
      </c>
    </row>
    <row r="37" spans="1:9" x14ac:dyDescent="0.35">
      <c r="B37" s="1" t="s">
        <v>38</v>
      </c>
      <c r="C37" s="1">
        <f>COUNTIF(Table1345678[7/12],"&lt;11")</f>
        <v>19</v>
      </c>
      <c r="D37" s="1">
        <f>COUNTIF(Table1345678[7/19],"&lt;11")</f>
        <v>0</v>
      </c>
      <c r="E37" s="1">
        <f>COUNTIF(Table1345678[7/26],"&lt;11")</f>
        <v>0</v>
      </c>
      <c r="F37" s="1">
        <f>COUNTIF(Table1345678[8/9],"&lt;11")</f>
        <v>0</v>
      </c>
      <c r="G37" s="1">
        <f>COUNTIF(Table1345678[8/16],"&lt;11")</f>
        <v>0</v>
      </c>
      <c r="H37" s="1">
        <f>COUNTIF(Table1345678[8/23],"&lt;11")</f>
        <v>0</v>
      </c>
      <c r="I37" s="1">
        <f>SUM(Table1345678[[#Totals],[7/12]:[8/23]])</f>
        <v>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A01B-8459-43B3-A659-6DF70FEE4FEC}">
  <dimension ref="A1:I34"/>
  <sheetViews>
    <sheetView workbookViewId="0">
      <selection activeCell="C11" sqref="C11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5</v>
      </c>
      <c r="B2" s="1" t="s">
        <v>59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57</v>
      </c>
      <c r="B3" s="1" t="s">
        <v>58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20</v>
      </c>
      <c r="B4" s="1" t="s">
        <v>70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42</v>
      </c>
      <c r="B5" s="1" t="s">
        <v>43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47</v>
      </c>
      <c r="B6" s="1" t="s">
        <v>54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67</v>
      </c>
      <c r="B7" s="1" t="s">
        <v>69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45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33</v>
      </c>
      <c r="B9" s="1" t="s">
        <v>53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37</v>
      </c>
      <c r="B10" s="1" t="s">
        <v>45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37</v>
      </c>
      <c r="B11" s="1" t="s">
        <v>53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96</v>
      </c>
      <c r="B12" s="1" t="s">
        <v>97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49</v>
      </c>
      <c r="B13" s="1" t="s">
        <v>50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27</v>
      </c>
      <c r="B14" s="1" t="s">
        <v>70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7</v>
      </c>
      <c r="B15" s="1" t="s">
        <v>46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11</v>
      </c>
      <c r="B16" s="1" t="s">
        <v>64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51</v>
      </c>
      <c r="B17" s="1" t="s">
        <v>52</v>
      </c>
      <c r="C17" s="3">
        <v>0</v>
      </c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67</v>
      </c>
      <c r="B18" s="1" t="s">
        <v>68</v>
      </c>
      <c r="C18" s="3">
        <v>0</v>
      </c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62</v>
      </c>
      <c r="B19" s="1" t="s">
        <v>65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90</v>
      </c>
      <c r="B20" s="1" t="s">
        <v>93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60</v>
      </c>
      <c r="B21" s="1" t="s">
        <v>61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39</v>
      </c>
      <c r="B22" s="1" t="s">
        <v>66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31</v>
      </c>
      <c r="B23" s="1" t="s">
        <v>122</v>
      </c>
      <c r="C23" s="3">
        <v>0</v>
      </c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31</v>
      </c>
      <c r="B24" s="1" t="s">
        <v>53</v>
      </c>
      <c r="C24" s="3">
        <v>0</v>
      </c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9</v>
      </c>
      <c r="B25" s="1" t="s">
        <v>55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23</v>
      </c>
      <c r="B26" s="1" t="s">
        <v>56</v>
      </c>
      <c r="C26" s="3">
        <v>0</v>
      </c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47</v>
      </c>
      <c r="B27" s="1" t="s">
        <v>48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47</v>
      </c>
      <c r="B28" s="1" t="s">
        <v>46</v>
      </c>
      <c r="C28" s="3">
        <v>0</v>
      </c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3</v>
      </c>
      <c r="B29" s="1" t="s">
        <v>44</v>
      </c>
      <c r="C29" s="3">
        <v>0</v>
      </c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71</v>
      </c>
      <c r="B30" s="1" t="s">
        <v>72</v>
      </c>
      <c r="C30" s="3">
        <v>0</v>
      </c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40</v>
      </c>
      <c r="B31" s="1" t="s">
        <v>41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94</v>
      </c>
      <c r="B32" s="1" t="s">
        <v>95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1:9" x14ac:dyDescent="0.35">
      <c r="A33" s="1" t="s">
        <v>42</v>
      </c>
      <c r="B33" s="1" t="s">
        <v>63</v>
      </c>
      <c r="C33" s="3">
        <v>0</v>
      </c>
      <c r="D33" s="3"/>
      <c r="E33" s="3"/>
      <c r="F33" s="3"/>
      <c r="G33" s="3"/>
      <c r="H33" s="3"/>
      <c r="I33" s="1">
        <f>SUM(C33:H33)</f>
        <v>0</v>
      </c>
    </row>
    <row r="34" spans="1:9" x14ac:dyDescent="0.35">
      <c r="B34" s="1" t="s">
        <v>38</v>
      </c>
      <c r="C34" s="1">
        <f>COUNTIF(Table13456789[7/12],"&lt;11")</f>
        <v>15</v>
      </c>
      <c r="D34" s="1">
        <f>COUNTIF(Table13456789[7/19],"&lt;11")</f>
        <v>0</v>
      </c>
      <c r="E34" s="1">
        <f>COUNTIF(Table13456789[7/26],"&lt;11")</f>
        <v>0</v>
      </c>
      <c r="F34" s="1">
        <f>COUNTIF(Table13456789[8/9],"&lt;11")</f>
        <v>0</v>
      </c>
      <c r="G34" s="1">
        <f>COUNTIF(Table13456789[8/16],"&lt;11")</f>
        <v>0</v>
      </c>
      <c r="H34" s="1">
        <f>COUNTIF(Table13456789[8/23],"&lt;11")</f>
        <v>0</v>
      </c>
      <c r="I34" s="1">
        <f>SUM(Table13456789[[#Totals],[7/12]:[8/23]])</f>
        <v>15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28D3-D4E5-4770-B2E5-A48EC8C4B2D0}">
  <dimension ref="A1:I32"/>
  <sheetViews>
    <sheetView workbookViewId="0">
      <selection activeCell="C2" sqref="C2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45</v>
      </c>
      <c r="C2" s="3"/>
      <c r="D2" s="3"/>
      <c r="E2" s="3"/>
      <c r="F2" s="3"/>
      <c r="G2" s="3"/>
      <c r="H2" s="3"/>
      <c r="I2" s="1">
        <f>SUM(C2:H2)</f>
        <v>0</v>
      </c>
    </row>
    <row r="3" spans="1:9" x14ac:dyDescent="0.35">
      <c r="A3" s="1" t="s">
        <v>33</v>
      </c>
      <c r="B3" s="1" t="s">
        <v>53</v>
      </c>
      <c r="C3" s="3"/>
      <c r="D3" s="3"/>
      <c r="E3" s="3"/>
      <c r="F3" s="3"/>
      <c r="G3" s="3"/>
      <c r="H3" s="3"/>
      <c r="I3" s="1">
        <f>SUM(C3:H3)</f>
        <v>0</v>
      </c>
    </row>
    <row r="4" spans="1:9" x14ac:dyDescent="0.35">
      <c r="A4" s="1" t="s">
        <v>37</v>
      </c>
      <c r="B4" s="1" t="s">
        <v>45</v>
      </c>
      <c r="C4" s="3"/>
      <c r="D4" s="3"/>
      <c r="E4" s="3"/>
      <c r="F4" s="3"/>
      <c r="G4" s="3"/>
      <c r="H4" s="3"/>
      <c r="I4" s="1">
        <f>SUM(C4:H4)</f>
        <v>0</v>
      </c>
    </row>
    <row r="5" spans="1:9" x14ac:dyDescent="0.35">
      <c r="A5" s="1" t="s">
        <v>37</v>
      </c>
      <c r="B5" s="1" t="s">
        <v>53</v>
      </c>
      <c r="C5" s="3"/>
      <c r="D5" s="3"/>
      <c r="E5" s="3"/>
      <c r="F5" s="3"/>
      <c r="G5" s="3"/>
      <c r="H5" s="3"/>
      <c r="I5" s="1">
        <f>SUM(C5:H5)</f>
        <v>0</v>
      </c>
    </row>
    <row r="6" spans="1:9" x14ac:dyDescent="0.35">
      <c r="A6" s="1" t="s">
        <v>96</v>
      </c>
      <c r="B6" s="1" t="s">
        <v>97</v>
      </c>
      <c r="C6" s="3"/>
      <c r="D6" s="3"/>
      <c r="E6" s="3"/>
      <c r="F6" s="3"/>
      <c r="G6" s="3"/>
      <c r="H6" s="3"/>
      <c r="I6" s="1">
        <f>SUM(C6:H6)</f>
        <v>0</v>
      </c>
    </row>
    <row r="7" spans="1:9" x14ac:dyDescent="0.35">
      <c r="A7" s="1" t="s">
        <v>92</v>
      </c>
      <c r="B7" s="1" t="s">
        <v>93</v>
      </c>
      <c r="C7" s="3"/>
      <c r="D7" s="3"/>
      <c r="E7" s="3"/>
      <c r="F7" s="3"/>
      <c r="G7" s="3"/>
      <c r="H7" s="3"/>
      <c r="I7" s="1">
        <f>SUM(C7:H7)</f>
        <v>0</v>
      </c>
    </row>
    <row r="8" spans="1:9" x14ac:dyDescent="0.35">
      <c r="A8" s="1" t="s">
        <v>49</v>
      </c>
      <c r="B8" s="1" t="s">
        <v>50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27</v>
      </c>
      <c r="B9" s="1" t="s">
        <v>70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7</v>
      </c>
      <c r="B10" s="1" t="s">
        <v>46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11</v>
      </c>
      <c r="B11" s="1" t="s">
        <v>64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5</v>
      </c>
      <c r="B12" s="1" t="s">
        <v>59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51</v>
      </c>
      <c r="B13" s="1" t="s">
        <v>52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67</v>
      </c>
      <c r="B14" s="1" t="s">
        <v>68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67</v>
      </c>
      <c r="B15" s="1" t="s">
        <v>69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67</v>
      </c>
      <c r="B16" s="1" t="s">
        <v>64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62</v>
      </c>
      <c r="B17" s="1" t="s">
        <v>65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60</v>
      </c>
      <c r="B18" s="1" t="s">
        <v>61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39</v>
      </c>
      <c r="B19" s="1" t="s">
        <v>66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20</v>
      </c>
      <c r="B20" s="1" t="s">
        <v>70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57</v>
      </c>
      <c r="B21" s="1" t="s">
        <v>58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9</v>
      </c>
      <c r="B22" s="1" t="s">
        <v>55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23</v>
      </c>
      <c r="B23" s="1" t="s">
        <v>56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47</v>
      </c>
      <c r="B24" s="1" t="s">
        <v>48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47</v>
      </c>
      <c r="B25" s="1" t="s">
        <v>54</v>
      </c>
      <c r="C25" s="3"/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3</v>
      </c>
      <c r="B26" s="1" t="s">
        <v>44</v>
      </c>
      <c r="C26" s="3"/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71</v>
      </c>
      <c r="B27" s="1" t="s">
        <v>72</v>
      </c>
      <c r="C27" s="3"/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40</v>
      </c>
      <c r="B28" s="1" t="s">
        <v>41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94</v>
      </c>
      <c r="B29" s="1" t="s">
        <v>95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42</v>
      </c>
      <c r="B30" s="1" t="s">
        <v>63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42</v>
      </c>
      <c r="B31" s="1" t="s">
        <v>43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B32" s="1" t="s">
        <v>38</v>
      </c>
      <c r="C32" s="1">
        <f>COUNTIF(Table1345678910[7/12],"&lt;11")</f>
        <v>0</v>
      </c>
      <c r="D32" s="1">
        <f>COUNTIF(Table1345678910[7/19],"&lt;11")</f>
        <v>0</v>
      </c>
      <c r="E32" s="1">
        <f>COUNTIF(Table1345678910[7/26],"&lt;11")</f>
        <v>0</v>
      </c>
      <c r="F32" s="1">
        <f>COUNTIF(Table1345678910[8/9],"&lt;11")</f>
        <v>0</v>
      </c>
      <c r="G32" s="1">
        <f>COUNTIF(Table1345678910[8/16],"&lt;11")</f>
        <v>0</v>
      </c>
      <c r="H32" s="1">
        <f>COUNTIF(Table1345678910[8/23],"&lt;11")</f>
        <v>0</v>
      </c>
      <c r="I32" s="1">
        <f>SUM(Table1345678910[[#Totals],[7/12]:[8/23]])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1976-ABAA-4955-89CA-23E786D3D789}">
  <dimension ref="A1:I23"/>
  <sheetViews>
    <sheetView workbookViewId="0">
      <selection activeCell="C11" sqref="C11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34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25</v>
      </c>
      <c r="B3" s="1" t="s">
        <v>26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9</v>
      </c>
      <c r="B4" s="1" t="s">
        <v>10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92</v>
      </c>
      <c r="B5" s="1" t="s">
        <v>132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3</v>
      </c>
      <c r="B6" s="1" t="s">
        <v>4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7</v>
      </c>
      <c r="B7" s="1" t="s">
        <v>8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36</v>
      </c>
      <c r="C8" s="3">
        <v>0</v>
      </c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37</v>
      </c>
      <c r="B9" s="1" t="s">
        <v>36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37</v>
      </c>
      <c r="B10" s="1" t="s">
        <v>34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35</v>
      </c>
      <c r="B11" s="1" t="s">
        <v>22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27</v>
      </c>
      <c r="B12" s="1" t="s">
        <v>28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11</v>
      </c>
      <c r="B13" s="1" t="s">
        <v>12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11</v>
      </c>
      <c r="B14" s="1" t="s">
        <v>13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5</v>
      </c>
      <c r="B15" s="1" t="s">
        <v>6</v>
      </c>
      <c r="C15" s="3">
        <v>0</v>
      </c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20</v>
      </c>
      <c r="B16" s="1" t="s">
        <v>21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20</v>
      </c>
      <c r="B17" s="1" t="s">
        <v>22</v>
      </c>
      <c r="C17" s="3">
        <v>0</v>
      </c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20</v>
      </c>
      <c r="B18" s="1" t="s">
        <v>28</v>
      </c>
      <c r="C18" s="3">
        <v>0</v>
      </c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87</v>
      </c>
      <c r="B19" s="1" t="s">
        <v>88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31</v>
      </c>
      <c r="B20" s="1" t="s">
        <v>32</v>
      </c>
      <c r="C20" s="3">
        <v>0</v>
      </c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29</v>
      </c>
      <c r="B21" s="1" t="s">
        <v>30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23</v>
      </c>
      <c r="B22" s="1" t="s">
        <v>24</v>
      </c>
      <c r="C22" s="3">
        <v>0</v>
      </c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B23" s="1" t="s">
        <v>38</v>
      </c>
      <c r="C23" s="1">
        <f>COUNTIF(Table13[7/12],"&lt;11")</f>
        <v>13</v>
      </c>
      <c r="D23" s="1">
        <f>COUNTIF(Table13[7/19],"&lt;11")</f>
        <v>0</v>
      </c>
      <c r="E23" s="1">
        <f>COUNTIF(Table13[7/26],"&lt;11")</f>
        <v>0</v>
      </c>
      <c r="F23" s="1">
        <f>COUNTIF(Table13[8/9],"&lt;11")</f>
        <v>0</v>
      </c>
      <c r="G23" s="1">
        <f>COUNTIF(Table13[8/16],"&lt;11")</f>
        <v>0</v>
      </c>
      <c r="H23" s="1">
        <f>COUNTIF(Table13[8/23],"&lt;11")</f>
        <v>0</v>
      </c>
      <c r="I23" s="1">
        <f>SUM(Table13[[#Totals],[7/12]:[8/23]])</f>
        <v>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1E9-F9E0-4157-B2C6-35F09AF9B1A2}">
  <dimension ref="A1:I22"/>
  <sheetViews>
    <sheetView workbookViewId="0">
      <selection activeCell="C22" sqref="C22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23</v>
      </c>
      <c r="B2" s="1" t="s">
        <v>24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37</v>
      </c>
      <c r="B3" s="1" t="s">
        <v>34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31</v>
      </c>
      <c r="B4" s="1" t="s">
        <v>32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27</v>
      </c>
      <c r="B5" s="1" t="s">
        <v>28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37</v>
      </c>
      <c r="B6" s="1" t="s">
        <v>36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3</v>
      </c>
      <c r="B7" s="1" t="s">
        <v>4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34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33</v>
      </c>
      <c r="B9" s="1" t="s">
        <v>36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35</v>
      </c>
      <c r="B10" s="1" t="s">
        <v>22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25</v>
      </c>
      <c r="B11" s="1" t="s">
        <v>26</v>
      </c>
      <c r="C11" s="3">
        <v>0</v>
      </c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7</v>
      </c>
      <c r="B12" s="1" t="s">
        <v>8</v>
      </c>
      <c r="C12" s="3">
        <v>0</v>
      </c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11</v>
      </c>
      <c r="B13" s="1" t="s">
        <v>12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11</v>
      </c>
      <c r="B14" s="1" t="s">
        <v>13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5</v>
      </c>
      <c r="B15" s="1" t="s">
        <v>6</v>
      </c>
      <c r="C15" s="3">
        <v>0</v>
      </c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90</v>
      </c>
      <c r="B16" s="1" t="s">
        <v>91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20</v>
      </c>
      <c r="B17" s="1" t="s">
        <v>21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20</v>
      </c>
      <c r="B18" s="1" t="s">
        <v>22</v>
      </c>
      <c r="C18" s="3">
        <v>0</v>
      </c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87</v>
      </c>
      <c r="B19" s="1" t="s">
        <v>88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29</v>
      </c>
      <c r="B20" s="1" t="s">
        <v>30</v>
      </c>
      <c r="C20" s="3">
        <v>0</v>
      </c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9</v>
      </c>
      <c r="B21" s="1" t="s">
        <v>10</v>
      </c>
      <c r="C21" s="3">
        <v>0</v>
      </c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B22" s="1" t="s">
        <v>38</v>
      </c>
      <c r="C22" s="1">
        <f>COUNTIF(Table134[7/12],"&lt;11")</f>
        <v>12</v>
      </c>
      <c r="D22" s="1">
        <f>COUNTIF(Table134[7/19],"&lt;11")</f>
        <v>0</v>
      </c>
      <c r="E22" s="1">
        <f>COUNTIF(Table134[7/26],"&lt;11")</f>
        <v>0</v>
      </c>
      <c r="F22" s="1">
        <f>COUNTIF(Table134[8/9],"&lt;11")</f>
        <v>0</v>
      </c>
      <c r="G22" s="1">
        <f>COUNTIF(Table134[8/16],"&lt;11")</f>
        <v>0</v>
      </c>
      <c r="H22" s="1">
        <f>COUNTIF(Table134[8/23],"&lt;11")</f>
        <v>0</v>
      </c>
      <c r="I22" s="1">
        <f>SUM(Table134[[#Totals],[7/12]:[8/23]])</f>
        <v>12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93DC-D4CD-4754-92ED-BCC75A048108}">
  <dimension ref="A1:I21"/>
  <sheetViews>
    <sheetView workbookViewId="0">
      <selection activeCell="C14" sqref="C14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36</v>
      </c>
      <c r="C2" s="3">
        <v>10</v>
      </c>
      <c r="D2" s="3"/>
      <c r="E2" s="3"/>
      <c r="F2" s="3"/>
      <c r="G2" s="3"/>
      <c r="H2" s="3"/>
      <c r="I2" s="1">
        <f>SUM(C2:H2)</f>
        <v>10</v>
      </c>
    </row>
    <row r="3" spans="1:9" x14ac:dyDescent="0.35">
      <c r="A3" s="1" t="s">
        <v>23</v>
      </c>
      <c r="B3" s="1" t="s">
        <v>24</v>
      </c>
      <c r="C3" s="3">
        <v>8</v>
      </c>
      <c r="D3" s="3"/>
      <c r="E3" s="3"/>
      <c r="F3" s="3"/>
      <c r="G3" s="3"/>
      <c r="H3" s="3"/>
      <c r="I3" s="1">
        <f>SUM(C3:H3)</f>
        <v>8</v>
      </c>
    </row>
    <row r="4" spans="1:9" x14ac:dyDescent="0.35">
      <c r="A4" s="1" t="s">
        <v>31</v>
      </c>
      <c r="B4" s="1" t="s">
        <v>32</v>
      </c>
      <c r="C4" s="3">
        <v>6</v>
      </c>
      <c r="D4" s="3"/>
      <c r="E4" s="3"/>
      <c r="F4" s="3"/>
      <c r="G4" s="3"/>
      <c r="H4" s="3"/>
      <c r="I4" s="1">
        <f>SUM(C4:H4)</f>
        <v>6</v>
      </c>
    </row>
    <row r="5" spans="1:9" x14ac:dyDescent="0.35">
      <c r="A5" s="1" t="s">
        <v>35</v>
      </c>
      <c r="B5" s="1" t="s">
        <v>22</v>
      </c>
      <c r="C5" s="3">
        <v>4</v>
      </c>
      <c r="D5" s="3"/>
      <c r="E5" s="3"/>
      <c r="F5" s="3"/>
      <c r="G5" s="3"/>
      <c r="H5" s="3"/>
      <c r="I5" s="1">
        <f>SUM(C5:H5)</f>
        <v>4</v>
      </c>
    </row>
    <row r="6" spans="1:9" x14ac:dyDescent="0.35">
      <c r="A6" s="1" t="s">
        <v>3</v>
      </c>
      <c r="B6" s="1" t="s">
        <v>4</v>
      </c>
      <c r="C6" s="3">
        <v>2</v>
      </c>
      <c r="D6" s="3"/>
      <c r="E6" s="3"/>
      <c r="F6" s="3"/>
      <c r="G6" s="3"/>
      <c r="H6" s="3"/>
      <c r="I6" s="1">
        <f>SUM(C6:H6)</f>
        <v>2</v>
      </c>
    </row>
    <row r="7" spans="1:9" x14ac:dyDescent="0.35">
      <c r="A7" s="1" t="s">
        <v>5</v>
      </c>
      <c r="B7" s="1" t="s">
        <v>6</v>
      </c>
      <c r="C7" s="3">
        <v>1</v>
      </c>
      <c r="D7" s="3"/>
      <c r="E7" s="3"/>
      <c r="F7" s="3"/>
      <c r="G7" s="3"/>
      <c r="H7" s="3"/>
      <c r="I7" s="1">
        <f>SUM(C7:H7)</f>
        <v>1</v>
      </c>
    </row>
    <row r="8" spans="1:9" x14ac:dyDescent="0.35">
      <c r="A8" s="1" t="s">
        <v>33</v>
      </c>
      <c r="B8" s="1" t="s">
        <v>34</v>
      </c>
      <c r="C8" s="3">
        <v>0</v>
      </c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37</v>
      </c>
      <c r="B9" s="1" t="s">
        <v>34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37</v>
      </c>
      <c r="B10" s="1" t="s">
        <v>36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92</v>
      </c>
      <c r="B11" s="1" t="s">
        <v>91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27</v>
      </c>
      <c r="B12" s="1" t="s">
        <v>28</v>
      </c>
      <c r="C12" s="3">
        <v>0</v>
      </c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25</v>
      </c>
      <c r="B13" s="1" t="s">
        <v>26</v>
      </c>
      <c r="C13" s="3">
        <v>0</v>
      </c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7</v>
      </c>
      <c r="B14" s="1" t="s">
        <v>8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11</v>
      </c>
      <c r="B15" s="1" t="s">
        <v>13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11</v>
      </c>
      <c r="B16" s="1" t="s">
        <v>12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20</v>
      </c>
      <c r="B17" s="1" t="s">
        <v>21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20</v>
      </c>
      <c r="B18" s="1" t="s">
        <v>22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29</v>
      </c>
      <c r="B19" s="1" t="s">
        <v>30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9</v>
      </c>
      <c r="B20" s="1" t="s">
        <v>10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B21" s="1" t="s">
        <v>38</v>
      </c>
      <c r="C21" s="1">
        <f>COUNTIF(Table1345[7/12],"&lt;11")</f>
        <v>9</v>
      </c>
      <c r="D21" s="1">
        <f>COUNTIF(Table1345[7/19],"&lt;11")</f>
        <v>0</v>
      </c>
      <c r="E21" s="1">
        <f>COUNTIF(Table1345[7/26],"&lt;11")</f>
        <v>0</v>
      </c>
      <c r="F21" s="1">
        <f>COUNTIF(Table1345[8/9],"&lt;11")</f>
        <v>0</v>
      </c>
      <c r="G21" s="1">
        <f>COUNTIF(Table1345[8/16],"&lt;11")</f>
        <v>0</v>
      </c>
      <c r="H21" s="1">
        <f>COUNTIF(Table1345[8/23],"&lt;11")</f>
        <v>0</v>
      </c>
      <c r="I21" s="1">
        <f>SUM(Table1345[[#Totals],[7/12]:[8/23]])</f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E886-255D-43B5-9F3E-1ADAE2401575}">
  <dimension ref="A1:I24"/>
  <sheetViews>
    <sheetView workbookViewId="0">
      <selection activeCell="D11" sqref="D11"/>
    </sheetView>
  </sheetViews>
  <sheetFormatPr defaultColWidth="8.85546875" defaultRowHeight="23.25" x14ac:dyDescent="0.35"/>
  <cols>
    <col min="1" max="1" width="23.7109375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B2" s="1" t="s">
        <v>34</v>
      </c>
      <c r="C2" s="3"/>
      <c r="D2" s="3"/>
      <c r="E2" s="3"/>
      <c r="F2" s="3"/>
      <c r="G2" s="3"/>
      <c r="H2" s="3"/>
      <c r="I2" s="1">
        <f>SUM(C2:H2)</f>
        <v>0</v>
      </c>
    </row>
    <row r="3" spans="1:9" x14ac:dyDescent="0.35">
      <c r="A3" s="1" t="s">
        <v>33</v>
      </c>
      <c r="B3" s="1" t="s">
        <v>36</v>
      </c>
      <c r="C3" s="3"/>
      <c r="D3" s="3"/>
      <c r="E3" s="3"/>
      <c r="F3" s="3"/>
      <c r="G3" s="3"/>
      <c r="H3" s="3"/>
      <c r="I3" s="1">
        <f>SUM(C3:H3)</f>
        <v>0</v>
      </c>
    </row>
    <row r="4" spans="1:9" x14ac:dyDescent="0.35">
      <c r="A4" s="1" t="s">
        <v>37</v>
      </c>
      <c r="B4" s="1" t="s">
        <v>36</v>
      </c>
      <c r="C4" s="3"/>
      <c r="D4" s="3"/>
      <c r="E4" s="3"/>
      <c r="F4" s="3"/>
      <c r="G4" s="3"/>
      <c r="H4" s="3"/>
      <c r="I4" s="1">
        <f>SUM(C4:H4)</f>
        <v>0</v>
      </c>
    </row>
    <row r="5" spans="1:9" x14ac:dyDescent="0.35">
      <c r="A5" s="1" t="s">
        <v>37</v>
      </c>
      <c r="B5" s="1" t="s">
        <v>34</v>
      </c>
      <c r="C5" s="3"/>
      <c r="D5" s="3"/>
      <c r="E5" s="3"/>
      <c r="F5" s="3"/>
      <c r="G5" s="3"/>
      <c r="H5" s="3"/>
      <c r="I5" s="1">
        <f>SUM(C5:H5)</f>
        <v>0</v>
      </c>
    </row>
    <row r="6" spans="1:9" x14ac:dyDescent="0.35">
      <c r="A6" s="1" t="s">
        <v>96</v>
      </c>
      <c r="B6" s="1" t="s">
        <v>100</v>
      </c>
      <c r="C6" s="3"/>
      <c r="D6" s="3"/>
      <c r="E6" s="3"/>
      <c r="F6" s="3"/>
      <c r="G6" s="3"/>
      <c r="H6" s="3"/>
      <c r="I6" s="1">
        <f>SUM(C6:H6)</f>
        <v>0</v>
      </c>
    </row>
    <row r="7" spans="1:9" x14ac:dyDescent="0.35">
      <c r="A7" s="1" t="s">
        <v>35</v>
      </c>
      <c r="B7" s="1" t="s">
        <v>22</v>
      </c>
      <c r="C7" s="3"/>
      <c r="D7" s="3"/>
      <c r="E7" s="3"/>
      <c r="F7" s="3"/>
      <c r="G7" s="3"/>
      <c r="H7" s="3"/>
      <c r="I7" s="1">
        <f>SUM(C7:H7)</f>
        <v>0</v>
      </c>
    </row>
    <row r="8" spans="1:9" x14ac:dyDescent="0.35">
      <c r="A8" s="1" t="s">
        <v>27</v>
      </c>
      <c r="B8" s="1" t="s">
        <v>28</v>
      </c>
      <c r="C8" s="3"/>
      <c r="D8" s="3"/>
      <c r="E8" s="3"/>
      <c r="F8" s="3"/>
      <c r="G8" s="3"/>
      <c r="H8" s="3"/>
      <c r="I8" s="1">
        <f>SUM(C8:H8)</f>
        <v>0</v>
      </c>
    </row>
    <row r="9" spans="1:9" x14ac:dyDescent="0.35">
      <c r="A9" s="1" t="s">
        <v>25</v>
      </c>
      <c r="B9" s="1" t="s">
        <v>26</v>
      </c>
      <c r="C9" s="3"/>
      <c r="D9" s="3"/>
      <c r="E9" s="3"/>
      <c r="F9" s="3"/>
      <c r="G9" s="3"/>
      <c r="H9" s="3"/>
      <c r="I9" s="1">
        <f>SUM(C9:H9)</f>
        <v>0</v>
      </c>
    </row>
    <row r="10" spans="1:9" x14ac:dyDescent="0.35">
      <c r="A10" s="1" t="s">
        <v>7</v>
      </c>
      <c r="B10" s="1" t="s">
        <v>8</v>
      </c>
      <c r="C10" s="3"/>
      <c r="D10" s="3"/>
      <c r="E10" s="3"/>
      <c r="F10" s="3"/>
      <c r="G10" s="3"/>
      <c r="H10" s="3"/>
      <c r="I10" s="1">
        <f>SUM(C10:H10)</f>
        <v>0</v>
      </c>
    </row>
    <row r="11" spans="1:9" x14ac:dyDescent="0.35">
      <c r="A11" s="1" t="s">
        <v>11</v>
      </c>
      <c r="B11" s="1" t="s">
        <v>13</v>
      </c>
      <c r="C11" s="3"/>
      <c r="D11" s="3"/>
      <c r="E11" s="3"/>
      <c r="F11" s="3"/>
      <c r="G11" s="3"/>
      <c r="H11" s="3"/>
      <c r="I11" s="1">
        <f>SUM(C11:H11)</f>
        <v>0</v>
      </c>
    </row>
    <row r="12" spans="1:9" x14ac:dyDescent="0.35">
      <c r="A12" s="1" t="s">
        <v>11</v>
      </c>
      <c r="B12" s="1" t="s">
        <v>12</v>
      </c>
      <c r="C12" s="3"/>
      <c r="D12" s="3"/>
      <c r="E12" s="3"/>
      <c r="F12" s="3"/>
      <c r="G12" s="3"/>
      <c r="H12" s="3"/>
      <c r="I12" s="1">
        <f>SUM(C12:H12)</f>
        <v>0</v>
      </c>
    </row>
    <row r="13" spans="1:9" x14ac:dyDescent="0.35">
      <c r="A13" s="1" t="s">
        <v>5</v>
      </c>
      <c r="B13" s="1" t="s">
        <v>6</v>
      </c>
      <c r="C13" s="3"/>
      <c r="D13" s="3"/>
      <c r="E13" s="3"/>
      <c r="F13" s="3"/>
      <c r="G13" s="3"/>
      <c r="H13" s="3"/>
      <c r="I13" s="1">
        <f>SUM(C13:H13)</f>
        <v>0</v>
      </c>
    </row>
    <row r="14" spans="1:9" x14ac:dyDescent="0.35">
      <c r="A14" s="1" t="s">
        <v>90</v>
      </c>
      <c r="B14" s="1" t="s">
        <v>91</v>
      </c>
      <c r="C14" s="3"/>
      <c r="D14" s="3"/>
      <c r="E14" s="3"/>
      <c r="F14" s="3"/>
      <c r="G14" s="3"/>
      <c r="H14" s="3"/>
      <c r="I14" s="1">
        <f>SUM(C14:H14)</f>
        <v>0</v>
      </c>
    </row>
    <row r="15" spans="1:9" x14ac:dyDescent="0.35">
      <c r="A15" s="1" t="s">
        <v>20</v>
      </c>
      <c r="B15" s="1" t="s">
        <v>21</v>
      </c>
      <c r="C15" s="3"/>
      <c r="D15" s="3"/>
      <c r="E15" s="3"/>
      <c r="F15" s="3"/>
      <c r="G15" s="3"/>
      <c r="H15" s="3"/>
      <c r="I15" s="1">
        <f>SUM(C15:H15)</f>
        <v>0</v>
      </c>
    </row>
    <row r="16" spans="1:9" x14ac:dyDescent="0.35">
      <c r="A16" s="1" t="s">
        <v>20</v>
      </c>
      <c r="B16" s="1" t="s">
        <v>22</v>
      </c>
      <c r="C16" s="3"/>
      <c r="D16" s="3"/>
      <c r="E16" s="3"/>
      <c r="F16" s="3"/>
      <c r="G16" s="3"/>
      <c r="H16" s="3"/>
      <c r="I16" s="1">
        <f>SUM(C16:H16)</f>
        <v>0</v>
      </c>
    </row>
    <row r="17" spans="1:9" x14ac:dyDescent="0.35">
      <c r="A17" s="1" t="s">
        <v>20</v>
      </c>
      <c r="B17" s="1" t="s">
        <v>28</v>
      </c>
      <c r="C17" s="3"/>
      <c r="D17" s="3"/>
      <c r="E17" s="3"/>
      <c r="F17" s="3"/>
      <c r="G17" s="3"/>
      <c r="H17" s="3"/>
      <c r="I17" s="1">
        <f>SUM(C17:H17)</f>
        <v>0</v>
      </c>
    </row>
    <row r="18" spans="1:9" x14ac:dyDescent="0.35">
      <c r="A18" s="1" t="s">
        <v>31</v>
      </c>
      <c r="B18" s="1" t="s">
        <v>32</v>
      </c>
      <c r="C18" s="3"/>
      <c r="D18" s="3"/>
      <c r="E18" s="3"/>
      <c r="F18" s="3"/>
      <c r="G18" s="3"/>
      <c r="H18" s="3"/>
      <c r="I18" s="1">
        <f>SUM(C18:H18)</f>
        <v>0</v>
      </c>
    </row>
    <row r="19" spans="1:9" x14ac:dyDescent="0.35">
      <c r="A19" s="1" t="s">
        <v>29</v>
      </c>
      <c r="B19" s="1" t="s">
        <v>30</v>
      </c>
      <c r="C19" s="3"/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9</v>
      </c>
      <c r="B20" s="1" t="s">
        <v>10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23</v>
      </c>
      <c r="B21" s="1" t="s">
        <v>24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3</v>
      </c>
      <c r="B22" s="1" t="s">
        <v>4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94</v>
      </c>
      <c r="B23" s="1" t="s">
        <v>10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B24" s="1" t="s">
        <v>38</v>
      </c>
      <c r="C24" s="1">
        <f>COUNTIF(Table13456[7/12],"&lt;11")</f>
        <v>0</v>
      </c>
      <c r="D24" s="1">
        <f>COUNTIF(Table13456[7/19],"&lt;11")</f>
        <v>0</v>
      </c>
      <c r="E24" s="1">
        <f>COUNTIF(Table13456[7/26],"&lt;11")</f>
        <v>0</v>
      </c>
      <c r="F24" s="1">
        <f>COUNTIF(Table13456[8/9],"&lt;11")</f>
        <v>0</v>
      </c>
      <c r="G24" s="1">
        <f>COUNTIF(Table13456[8/16],"&lt;11")</f>
        <v>0</v>
      </c>
      <c r="H24" s="1">
        <f>COUNTIF(Table13456[8/23],"&lt;11")</f>
        <v>0</v>
      </c>
      <c r="I24" s="1">
        <f>SUM(Table13456[[#Totals],[7/12]:[8/23]])</f>
        <v>0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0386-53E0-4B41-A587-678152C03E4F}">
  <dimension ref="A1:I38"/>
  <sheetViews>
    <sheetView workbookViewId="0">
      <selection activeCell="E8" sqref="E8"/>
    </sheetView>
  </sheetViews>
  <sheetFormatPr defaultColWidth="8.85546875" defaultRowHeight="23.25" x14ac:dyDescent="0.35"/>
  <cols>
    <col min="1" max="1" width="26" style="1" bestFit="1" customWidth="1"/>
    <col min="2" max="2" width="26.7109375" style="1" bestFit="1" customWidth="1"/>
    <col min="3" max="4" width="11.7109375" style="1" bestFit="1" customWidth="1"/>
    <col min="5" max="8" width="10.28515625" style="1" bestFit="1" customWidth="1"/>
    <col min="9" max="9" width="11.5703125" style="1" bestFit="1" customWidth="1"/>
    <col min="10" max="16384" width="8.85546875" style="1"/>
  </cols>
  <sheetData>
    <row r="1" spans="1:9" x14ac:dyDescent="0.35">
      <c r="A1" s="1" t="s">
        <v>0</v>
      </c>
      <c r="B1" s="1" t="s">
        <v>1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1" t="s">
        <v>2</v>
      </c>
    </row>
    <row r="2" spans="1:9" x14ac:dyDescent="0.35">
      <c r="A2" s="1" t="s">
        <v>33</v>
      </c>
      <c r="C2" s="3">
        <v>27</v>
      </c>
      <c r="D2" s="3"/>
      <c r="E2" s="3"/>
      <c r="F2" s="3"/>
      <c r="G2" s="3"/>
      <c r="H2" s="3"/>
      <c r="I2" s="1">
        <f>SUM(C2:H2)</f>
        <v>27</v>
      </c>
    </row>
    <row r="3" spans="1:9" x14ac:dyDescent="0.35">
      <c r="A3" s="1" t="s">
        <v>23</v>
      </c>
      <c r="C3" s="3">
        <v>22</v>
      </c>
      <c r="D3" s="3"/>
      <c r="E3" s="3"/>
      <c r="F3" s="3"/>
      <c r="G3" s="3"/>
      <c r="H3" s="3"/>
      <c r="I3" s="1">
        <f>SUM(C3:H3)</f>
        <v>22</v>
      </c>
    </row>
    <row r="4" spans="1:9" x14ac:dyDescent="0.35">
      <c r="A4" s="1" t="s">
        <v>3</v>
      </c>
      <c r="C4" s="3">
        <v>21</v>
      </c>
      <c r="D4" s="3"/>
      <c r="E4" s="3"/>
      <c r="F4" s="3"/>
      <c r="G4" s="3"/>
      <c r="H4" s="3"/>
      <c r="I4" s="1">
        <f>SUM(C4:H4)</f>
        <v>21</v>
      </c>
    </row>
    <row r="5" spans="1:9" x14ac:dyDescent="0.35">
      <c r="A5" s="1" t="s">
        <v>42</v>
      </c>
      <c r="C5" s="3">
        <v>20</v>
      </c>
      <c r="D5" s="3"/>
      <c r="E5" s="3"/>
      <c r="F5" s="3"/>
      <c r="G5" s="3"/>
      <c r="H5" s="3"/>
      <c r="I5" s="1">
        <f>SUM(C5:H5)</f>
        <v>20</v>
      </c>
    </row>
    <row r="6" spans="1:9" x14ac:dyDescent="0.35">
      <c r="A6" s="1" t="s">
        <v>47</v>
      </c>
      <c r="C6" s="3">
        <v>13</v>
      </c>
      <c r="D6" s="3"/>
      <c r="E6" s="3"/>
      <c r="F6" s="3"/>
      <c r="G6" s="3"/>
      <c r="H6" s="3"/>
      <c r="I6" s="1">
        <f>SUM(C6:H6)</f>
        <v>13</v>
      </c>
    </row>
    <row r="7" spans="1:9" x14ac:dyDescent="0.35">
      <c r="A7" s="1" t="s">
        <v>31</v>
      </c>
      <c r="C7" s="3">
        <v>12</v>
      </c>
      <c r="D7" s="3"/>
      <c r="E7" s="3"/>
      <c r="F7" s="3"/>
      <c r="G7" s="3"/>
      <c r="H7" s="3"/>
      <c r="I7" s="1">
        <f>SUM(C7:H7)</f>
        <v>12</v>
      </c>
    </row>
    <row r="8" spans="1:9" x14ac:dyDescent="0.35">
      <c r="A8" s="1" t="s">
        <v>57</v>
      </c>
      <c r="C8" s="3">
        <v>12</v>
      </c>
      <c r="D8" s="3"/>
      <c r="E8" s="3"/>
      <c r="F8" s="3"/>
      <c r="G8" s="3"/>
      <c r="H8" s="3"/>
      <c r="I8" s="1">
        <f>SUM(C8:H8)</f>
        <v>12</v>
      </c>
    </row>
    <row r="9" spans="1:9" x14ac:dyDescent="0.35">
      <c r="A9" s="1" t="s">
        <v>5</v>
      </c>
      <c r="C9" s="3">
        <v>11</v>
      </c>
      <c r="D9" s="3"/>
      <c r="E9" s="3"/>
      <c r="F9" s="3"/>
      <c r="G9" s="3"/>
      <c r="H9" s="3"/>
      <c r="I9" s="1">
        <f>SUM(C9:H9)</f>
        <v>11</v>
      </c>
    </row>
    <row r="10" spans="1:9" x14ac:dyDescent="0.35">
      <c r="A10" s="1" t="s">
        <v>37</v>
      </c>
      <c r="C10" s="3">
        <v>10</v>
      </c>
      <c r="D10" s="3"/>
      <c r="E10" s="3"/>
      <c r="F10" s="3"/>
      <c r="G10" s="3"/>
      <c r="H10" s="3"/>
      <c r="I10" s="1">
        <f>SUM(C10:H10)</f>
        <v>10</v>
      </c>
    </row>
    <row r="11" spans="1:9" x14ac:dyDescent="0.35">
      <c r="A11" s="1" t="s">
        <v>20</v>
      </c>
      <c r="C11" s="3">
        <v>10</v>
      </c>
      <c r="D11" s="3"/>
      <c r="E11" s="3"/>
      <c r="F11" s="3"/>
      <c r="G11" s="3"/>
      <c r="H11" s="3"/>
      <c r="I11" s="1">
        <f>SUM(C11:H11)</f>
        <v>10</v>
      </c>
    </row>
    <row r="12" spans="1:9" x14ac:dyDescent="0.35">
      <c r="A12" s="1" t="s">
        <v>25</v>
      </c>
      <c r="C12" s="3">
        <v>8</v>
      </c>
      <c r="D12" s="3"/>
      <c r="E12" s="3"/>
      <c r="F12" s="3"/>
      <c r="G12" s="3"/>
      <c r="H12" s="3"/>
      <c r="I12" s="1">
        <f>SUM(C12:H12)</f>
        <v>8</v>
      </c>
    </row>
    <row r="13" spans="1:9" x14ac:dyDescent="0.35">
      <c r="A13" s="1" t="s">
        <v>9</v>
      </c>
      <c r="C13" s="3">
        <v>6</v>
      </c>
      <c r="D13" s="3"/>
      <c r="E13" s="3"/>
      <c r="F13" s="3"/>
      <c r="G13" s="3"/>
      <c r="H13" s="3"/>
      <c r="I13" s="1">
        <f>SUM(C13:H13)</f>
        <v>6</v>
      </c>
    </row>
    <row r="14" spans="1:9" x14ac:dyDescent="0.35">
      <c r="A14" s="1" t="s">
        <v>92</v>
      </c>
      <c r="C14" s="3">
        <v>4</v>
      </c>
      <c r="D14" s="3"/>
      <c r="E14" s="3"/>
      <c r="F14" s="3"/>
      <c r="G14" s="3"/>
      <c r="H14" s="3"/>
      <c r="I14" s="1">
        <f>SUM(C14:H14)</f>
        <v>4</v>
      </c>
    </row>
    <row r="15" spans="1:9" x14ac:dyDescent="0.35">
      <c r="A15" s="1" t="s">
        <v>35</v>
      </c>
      <c r="C15" s="3">
        <v>4</v>
      </c>
      <c r="D15" s="3"/>
      <c r="E15" s="3"/>
      <c r="F15" s="3"/>
      <c r="G15" s="3"/>
      <c r="H15" s="3"/>
      <c r="I15" s="1">
        <f>SUM(C15:H15)</f>
        <v>4</v>
      </c>
    </row>
    <row r="16" spans="1:9" x14ac:dyDescent="0.35">
      <c r="A16" s="1" t="s">
        <v>27</v>
      </c>
      <c r="C16" s="3">
        <v>4</v>
      </c>
      <c r="D16" s="3"/>
      <c r="E16" s="3"/>
      <c r="F16" s="3"/>
      <c r="G16" s="3"/>
      <c r="H16" s="3"/>
      <c r="I16" s="1">
        <f>SUM(C16:H16)</f>
        <v>4</v>
      </c>
    </row>
    <row r="17" spans="1:9" x14ac:dyDescent="0.35">
      <c r="A17" s="1" t="s">
        <v>7</v>
      </c>
      <c r="C17" s="3">
        <v>1</v>
      </c>
      <c r="D17" s="3"/>
      <c r="E17" s="3"/>
      <c r="F17" s="3"/>
      <c r="G17" s="3"/>
      <c r="H17" s="3"/>
      <c r="I17" s="1">
        <f>SUM(C17:H17)</f>
        <v>1</v>
      </c>
    </row>
    <row r="18" spans="1:9" x14ac:dyDescent="0.35">
      <c r="A18" s="1" t="s">
        <v>67</v>
      </c>
      <c r="C18" s="3">
        <v>1</v>
      </c>
      <c r="D18" s="3"/>
      <c r="E18" s="3"/>
      <c r="F18" s="3"/>
      <c r="G18" s="3"/>
      <c r="H18" s="3"/>
      <c r="I18" s="1">
        <f>SUM(C18:H18)</f>
        <v>1</v>
      </c>
    </row>
    <row r="19" spans="1:9" x14ac:dyDescent="0.35">
      <c r="A19" s="1" t="s">
        <v>129</v>
      </c>
      <c r="C19" s="3">
        <v>0</v>
      </c>
      <c r="D19" s="3"/>
      <c r="E19" s="3"/>
      <c r="F19" s="3"/>
      <c r="G19" s="3"/>
      <c r="H19" s="3"/>
      <c r="I19" s="1">
        <f>SUM(C19:H19)</f>
        <v>0</v>
      </c>
    </row>
    <row r="20" spans="1:9" x14ac:dyDescent="0.35">
      <c r="A20" s="1" t="s">
        <v>96</v>
      </c>
      <c r="C20" s="3"/>
      <c r="D20" s="3"/>
      <c r="E20" s="3"/>
      <c r="F20" s="3"/>
      <c r="G20" s="3"/>
      <c r="H20" s="3"/>
      <c r="I20" s="1">
        <f>SUM(C20:H20)</f>
        <v>0</v>
      </c>
    </row>
    <row r="21" spans="1:9" x14ac:dyDescent="0.35">
      <c r="A21" s="1" t="s">
        <v>49</v>
      </c>
      <c r="C21" s="3"/>
      <c r="D21" s="3"/>
      <c r="E21" s="3"/>
      <c r="F21" s="3"/>
      <c r="G21" s="3"/>
      <c r="H21" s="3"/>
      <c r="I21" s="1">
        <f>SUM(C21:H21)</f>
        <v>0</v>
      </c>
    </row>
    <row r="22" spans="1:9" x14ac:dyDescent="0.35">
      <c r="A22" s="1" t="s">
        <v>11</v>
      </c>
      <c r="C22" s="3"/>
      <c r="D22" s="3"/>
      <c r="E22" s="3"/>
      <c r="F22" s="3"/>
      <c r="G22" s="3"/>
      <c r="H22" s="3"/>
      <c r="I22" s="1">
        <f>SUM(C22:H22)</f>
        <v>0</v>
      </c>
    </row>
    <row r="23" spans="1:9" x14ac:dyDescent="0.35">
      <c r="A23" s="1" t="s">
        <v>89</v>
      </c>
      <c r="C23" s="3"/>
      <c r="D23" s="3"/>
      <c r="E23" s="3"/>
      <c r="F23" s="3"/>
      <c r="G23" s="3"/>
      <c r="H23" s="3"/>
      <c r="I23" s="1">
        <f>SUM(C23:H23)</f>
        <v>0</v>
      </c>
    </row>
    <row r="24" spans="1:9" x14ac:dyDescent="0.35">
      <c r="A24" s="1" t="s">
        <v>87</v>
      </c>
      <c r="C24" s="3"/>
      <c r="D24" s="3"/>
      <c r="E24" s="3"/>
      <c r="F24" s="3"/>
      <c r="G24" s="3"/>
      <c r="H24" s="3"/>
      <c r="I24" s="1">
        <f>SUM(C24:H24)</f>
        <v>0</v>
      </c>
    </row>
    <row r="25" spans="1:9" x14ac:dyDescent="0.35">
      <c r="A25" s="1" t="s">
        <v>51</v>
      </c>
      <c r="C25" s="3">
        <v>0</v>
      </c>
      <c r="D25" s="3"/>
      <c r="E25" s="3"/>
      <c r="F25" s="3"/>
      <c r="G25" s="3"/>
      <c r="H25" s="3"/>
      <c r="I25" s="1">
        <f>SUM(C25:H25)</f>
        <v>0</v>
      </c>
    </row>
    <row r="26" spans="1:9" x14ac:dyDescent="0.35">
      <c r="A26" s="1" t="s">
        <v>133</v>
      </c>
      <c r="C26" s="3">
        <v>0</v>
      </c>
      <c r="D26" s="3"/>
      <c r="E26" s="3"/>
      <c r="F26" s="3"/>
      <c r="G26" s="3"/>
      <c r="H26" s="3"/>
      <c r="I26" s="1">
        <f>SUM(C26:H26)</f>
        <v>0</v>
      </c>
    </row>
    <row r="27" spans="1:9" x14ac:dyDescent="0.35">
      <c r="A27" s="1" t="s">
        <v>62</v>
      </c>
      <c r="C27" s="3">
        <v>0</v>
      </c>
      <c r="D27" s="3"/>
      <c r="E27" s="3"/>
      <c r="F27" s="3"/>
      <c r="G27" s="3"/>
      <c r="H27" s="3"/>
      <c r="I27" s="1">
        <f>SUM(C27:H27)</f>
        <v>0</v>
      </c>
    </row>
    <row r="28" spans="1:9" x14ac:dyDescent="0.35">
      <c r="A28" s="1" t="s">
        <v>90</v>
      </c>
      <c r="C28" s="3"/>
      <c r="D28" s="3"/>
      <c r="E28" s="3"/>
      <c r="F28" s="3"/>
      <c r="G28" s="3"/>
      <c r="H28" s="3"/>
      <c r="I28" s="1">
        <f>SUM(C28:H28)</f>
        <v>0</v>
      </c>
    </row>
    <row r="29" spans="1:9" x14ac:dyDescent="0.35">
      <c r="A29" s="1" t="s">
        <v>60</v>
      </c>
      <c r="C29" s="3"/>
      <c r="D29" s="3"/>
      <c r="E29" s="3"/>
      <c r="F29" s="3"/>
      <c r="G29" s="3"/>
      <c r="H29" s="3"/>
      <c r="I29" s="1">
        <f>SUM(C29:H29)</f>
        <v>0</v>
      </c>
    </row>
    <row r="30" spans="1:9" x14ac:dyDescent="0.35">
      <c r="A30" s="1" t="s">
        <v>39</v>
      </c>
      <c r="C30" s="3"/>
      <c r="D30" s="3"/>
      <c r="E30" s="3"/>
      <c r="F30" s="3"/>
      <c r="G30" s="3"/>
      <c r="H30" s="3"/>
      <c r="I30" s="1">
        <f>SUM(C30:H30)</f>
        <v>0</v>
      </c>
    </row>
    <row r="31" spans="1:9" x14ac:dyDescent="0.35">
      <c r="A31" s="1" t="s">
        <v>71</v>
      </c>
      <c r="C31" s="3"/>
      <c r="D31" s="3"/>
      <c r="E31" s="3"/>
      <c r="F31" s="3"/>
      <c r="G31" s="3"/>
      <c r="H31" s="3"/>
      <c r="I31" s="1">
        <f>SUM(C31:H31)</f>
        <v>0</v>
      </c>
    </row>
    <row r="32" spans="1:9" x14ac:dyDescent="0.35">
      <c r="A32" s="1" t="s">
        <v>29</v>
      </c>
      <c r="C32" s="3"/>
      <c r="D32" s="3"/>
      <c r="E32" s="3"/>
      <c r="F32" s="3"/>
      <c r="G32" s="3"/>
      <c r="H32" s="3"/>
      <c r="I32" s="1">
        <f>SUM(C32:H32)</f>
        <v>0</v>
      </c>
    </row>
    <row r="33" spans="2:9" x14ac:dyDescent="0.35">
      <c r="C33" s="3"/>
      <c r="D33" s="3"/>
      <c r="E33" s="3"/>
      <c r="F33" s="3"/>
      <c r="G33" s="3"/>
      <c r="H33" s="3"/>
      <c r="I33" s="1">
        <f>SUM(C33:H33)</f>
        <v>0</v>
      </c>
    </row>
    <row r="34" spans="2:9" x14ac:dyDescent="0.35">
      <c r="C34" s="3"/>
      <c r="D34" s="3"/>
      <c r="E34" s="3"/>
      <c r="F34" s="3"/>
      <c r="G34" s="3"/>
      <c r="H34" s="3"/>
      <c r="I34" s="1">
        <f>SUM(C34:H34)</f>
        <v>0</v>
      </c>
    </row>
    <row r="35" spans="2:9" x14ac:dyDescent="0.35">
      <c r="C35" s="3"/>
      <c r="D35" s="3"/>
      <c r="E35" s="3"/>
      <c r="F35" s="3"/>
      <c r="G35" s="3"/>
      <c r="H35" s="3"/>
      <c r="I35" s="1">
        <f>SUM(C35:H35)</f>
        <v>0</v>
      </c>
    </row>
    <row r="36" spans="2:9" x14ac:dyDescent="0.35">
      <c r="C36" s="3"/>
      <c r="D36" s="3"/>
      <c r="E36" s="3"/>
      <c r="F36" s="3"/>
      <c r="G36" s="3"/>
      <c r="H36" s="3"/>
      <c r="I36" s="1">
        <f>SUM(C36:H36)</f>
        <v>0</v>
      </c>
    </row>
    <row r="37" spans="2:9" x14ac:dyDescent="0.35">
      <c r="C37" s="3"/>
      <c r="D37" s="3"/>
      <c r="E37" s="3"/>
      <c r="F37" s="3"/>
      <c r="G37" s="3"/>
      <c r="H37" s="3"/>
      <c r="I37" s="1">
        <f>SUM(C37:H37)</f>
        <v>0</v>
      </c>
    </row>
    <row r="38" spans="2:9" x14ac:dyDescent="0.35">
      <c r="B38" s="1" t="s">
        <v>73</v>
      </c>
      <c r="C38" s="1">
        <f>COUNTIF(Table134567891011[7/12],"&lt;110")</f>
        <v>21</v>
      </c>
      <c r="D38" s="1">
        <f>COUNTIF(Table134567891011[7/19],"&lt;11")</f>
        <v>0</v>
      </c>
      <c r="E38" s="1">
        <f>COUNTIF(Table134567891011[7/26],"&lt;11")</f>
        <v>0</v>
      </c>
      <c r="F38" s="1">
        <f>COUNTIF(Table134567891011[8/9],"&lt;11")</f>
        <v>0</v>
      </c>
      <c r="G38" s="1">
        <f>COUNTIF(Table134567891011[8/16],"&lt;11")</f>
        <v>0</v>
      </c>
      <c r="H38" s="1">
        <f>COUNTIF(Table134567891011[8/23],"&lt;11")</f>
        <v>0</v>
      </c>
      <c r="I38" s="1">
        <f>SUM(Table134567891011[[#Totals],[7/12]:[8/23]])</f>
        <v>21</v>
      </c>
    </row>
  </sheetData>
  <dataConsolidate leftLabels="1">
    <dataRefs count="8">
      <dataRef ref="A2:H19" sheet="10,000"/>
      <dataRef ref="A2:H27" sheet="5,500"/>
      <dataRef ref="A2:H27" sheet="6,000"/>
      <dataRef ref="A2:H27" sheet="6,500"/>
      <dataRef ref="A2:H27" sheet="7,000"/>
      <dataRef ref="A2:H19" sheet="8,500"/>
      <dataRef ref="A2:H19" sheet="9,000"/>
      <dataRef ref="A2:H19" sheet="9,500"/>
    </dataRefs>
  </dataConsolid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5,500</vt:lpstr>
      <vt:lpstr>6,000</vt:lpstr>
      <vt:lpstr>6,500</vt:lpstr>
      <vt:lpstr>7,000</vt:lpstr>
      <vt:lpstr>10,000</vt:lpstr>
      <vt:lpstr>9,500</vt:lpstr>
      <vt:lpstr>9,000</vt:lpstr>
      <vt:lpstr>8,500</vt:lpstr>
      <vt:lpstr>Overall</vt:lpstr>
      <vt:lpstr>Joe N</vt:lpstr>
      <vt:lpstr>Tommy E</vt:lpstr>
      <vt:lpstr>Bruiser</vt:lpstr>
      <vt:lpstr>Hooks</vt:lpstr>
      <vt:lpstr>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Hubbell</dc:creator>
  <cp:lastModifiedBy>Jackson Hubbell</cp:lastModifiedBy>
  <cp:lastPrinted>2024-08-28T13:16:46Z</cp:lastPrinted>
  <dcterms:created xsi:type="dcterms:W3CDTF">2024-07-16T00:42:57Z</dcterms:created>
  <dcterms:modified xsi:type="dcterms:W3CDTF">2025-07-16T15:05:42Z</dcterms:modified>
</cp:coreProperties>
</file>